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76.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0.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8.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99.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2fccc2f5568b73a6/BCA 2024/"/>
    </mc:Choice>
  </mc:AlternateContent>
  <xr:revisionPtr revIDLastSave="4030" documentId="8_{A2986689-16E6-471C-93BB-8F4D54CE3585}" xr6:coauthVersionLast="47" xr6:coauthVersionMax="47" xr10:uidLastSave="{EC63602C-E578-49AC-9682-54A959CFED42}"/>
  <bookViews>
    <workbookView xWindow="-108" yWindow="-108" windowWidth="23256" windowHeight="12456" firstSheet="3" activeTab="3" xr2:uid="{00000000-000D-0000-FFFF-FFFF00000000}"/>
  </bookViews>
  <sheets>
    <sheet name="Table 1" sheetId="1" state="hidden" r:id="rId1"/>
    <sheet name="BCA Visualization" sheetId="118" r:id="rId2"/>
    <sheet name="BCA-All" sheetId="113" r:id="rId3"/>
    <sheet name="BCA-B" sheetId="110" r:id="rId4"/>
    <sheet name="BCA-M" sheetId="111" r:id="rId5"/>
    <sheet name="BCA-D" sheetId="112" r:id="rId6"/>
    <sheet name="SA-All" sheetId="114" r:id="rId7"/>
    <sheet name="SA-B" sheetId="115" r:id="rId8"/>
    <sheet name="SA-M" sheetId="116" r:id="rId9"/>
    <sheet name="SA-D" sheetId="117" r:id="rId10"/>
    <sheet name="Table 1-1" sheetId="2" r:id="rId11"/>
    <sheet name="Table 1-1b" sheetId="3" state="hidden" r:id="rId12"/>
    <sheet name="Table 1-1c" sheetId="4" state="hidden" r:id="rId13"/>
    <sheet name="Table 1-1d" sheetId="5" state="hidden" r:id="rId14"/>
    <sheet name="Table 1-1e" sheetId="6" state="hidden" r:id="rId15"/>
    <sheet name="Table 1-2" sheetId="7" state="hidden" r:id="rId16"/>
    <sheet name="Table 1-2b" sheetId="8" state="hidden" r:id="rId17"/>
    <sheet name="Table 1-2c" sheetId="9" state="hidden" r:id="rId18"/>
    <sheet name="Table 1-2d" sheetId="10" state="hidden" r:id="rId19"/>
    <sheet name="Table 1-2e" sheetId="11" state="hidden" r:id="rId20"/>
    <sheet name="Table 1-2f" sheetId="12" state="hidden" r:id="rId21"/>
    <sheet name="Table 1-2g" sheetId="13" state="hidden" r:id="rId22"/>
    <sheet name="Table 1-3" sheetId="14" r:id="rId23"/>
    <sheet name="Table 1-3b" sheetId="15" state="hidden" r:id="rId24"/>
    <sheet name="Table 1-3c" sheetId="16" state="hidden" r:id="rId25"/>
    <sheet name="Table 1-3d" sheetId="17" state="hidden" r:id="rId26"/>
    <sheet name="Table 1-3e" sheetId="18" state="hidden" r:id="rId27"/>
    <sheet name="Table 1-4" sheetId="19" state="hidden" r:id="rId28"/>
    <sheet name="Table 1-4b" sheetId="20" state="hidden" r:id="rId29"/>
    <sheet name="Table 1-4c" sheetId="21" state="hidden" r:id="rId30"/>
    <sheet name="Table 1-4d" sheetId="22" state="hidden" r:id="rId31"/>
    <sheet name="Table 1-4e" sheetId="23" state="hidden" r:id="rId32"/>
    <sheet name="Table 24" sheetId="24" state="hidden" r:id="rId33"/>
    <sheet name="Table 2-1b" sheetId="26" state="hidden" r:id="rId34"/>
    <sheet name="Table 2-1" sheetId="25" r:id="rId35"/>
    <sheet name="Table 2-2" sheetId="27" r:id="rId36"/>
    <sheet name="Table 2-2b" sheetId="28" state="hidden" r:id="rId37"/>
    <sheet name="Table 29" sheetId="29" state="hidden" r:id="rId38"/>
    <sheet name="Table 30" sheetId="30" state="hidden" r:id="rId39"/>
    <sheet name="Table 31" sheetId="31" state="hidden" r:id="rId40"/>
    <sheet name="Table 32" sheetId="32" state="hidden" r:id="rId41"/>
    <sheet name="Table 33" sheetId="33" state="hidden" r:id="rId42"/>
    <sheet name="Table 34" sheetId="34" state="hidden" r:id="rId43"/>
    <sheet name="Table 35" sheetId="35" state="hidden" r:id="rId44"/>
    <sheet name="Table 36" sheetId="36" state="hidden" r:id="rId45"/>
    <sheet name="Table 37" sheetId="37" state="hidden" r:id="rId46"/>
    <sheet name="Table 38" sheetId="38" state="hidden" r:id="rId47"/>
    <sheet name="Table 39" sheetId="39" state="hidden" r:id="rId48"/>
    <sheet name="Table 3-1" sheetId="41" state="hidden" r:id="rId49"/>
    <sheet name="Table 3-1b" sheetId="42" state="hidden" r:id="rId50"/>
    <sheet name="Table 3-1c" sheetId="43" state="hidden" r:id="rId51"/>
    <sheet name="Table 3-1d" sheetId="44" state="hidden" r:id="rId52"/>
    <sheet name="Table 3-1e" sheetId="45" state="hidden" r:id="rId53"/>
    <sheet name="Table 3-1f" sheetId="46" state="hidden" r:id="rId54"/>
    <sheet name="Table 47" sheetId="47" state="hidden" r:id="rId55"/>
    <sheet name="Table 48" sheetId="48" state="hidden" r:id="rId56"/>
    <sheet name="Table 49" sheetId="49" state="hidden" r:id="rId57"/>
    <sheet name="Table 50" sheetId="50" state="hidden" r:id="rId58"/>
    <sheet name="Table 51" sheetId="51" state="hidden" r:id="rId59"/>
    <sheet name="Table 52" sheetId="52" state="hidden" r:id="rId60"/>
    <sheet name="Table 53" sheetId="53" state="hidden" r:id="rId61"/>
    <sheet name="Table 54" sheetId="54" state="hidden" r:id="rId62"/>
    <sheet name="Table 55" sheetId="55" state="hidden" r:id="rId63"/>
    <sheet name="Table 56" sheetId="56" state="hidden" r:id="rId64"/>
    <sheet name="Table 57" sheetId="57" state="hidden" r:id="rId65"/>
    <sheet name="Table 58" sheetId="58" state="hidden" r:id="rId66"/>
    <sheet name="Table 59" sheetId="59" state="hidden" r:id="rId67"/>
    <sheet name="Table 60" sheetId="60" state="hidden" r:id="rId68"/>
    <sheet name="Table 61" sheetId="61" state="hidden" r:id="rId69"/>
    <sheet name="Table 62" sheetId="62" state="hidden" r:id="rId70"/>
    <sheet name="Table 63" sheetId="63" state="hidden" r:id="rId71"/>
    <sheet name="Table 64" sheetId="64" state="hidden" r:id="rId72"/>
    <sheet name="Table 65" sheetId="65" state="hidden" r:id="rId73"/>
    <sheet name="Table 66" sheetId="66" state="hidden" r:id="rId74"/>
    <sheet name="Table 67" sheetId="67" state="hidden" r:id="rId75"/>
    <sheet name="Table 68" sheetId="68" state="hidden" r:id="rId76"/>
    <sheet name="Table 69" sheetId="69" state="hidden" r:id="rId77"/>
    <sheet name="Table 70" sheetId="70" state="hidden" r:id="rId78"/>
    <sheet name="Table 71" sheetId="71" state="hidden" r:id="rId79"/>
    <sheet name="Table 72" sheetId="72" state="hidden" r:id="rId80"/>
    <sheet name="Table 73" sheetId="73" state="hidden" r:id="rId81"/>
    <sheet name="Table 74" sheetId="74" state="hidden" r:id="rId82"/>
    <sheet name="Table 2-6" sheetId="40" r:id="rId83"/>
    <sheet name="Table 4-1" sheetId="107" r:id="rId84"/>
    <sheet name="Table 5-3b" sheetId="76" state="hidden" r:id="rId85"/>
    <sheet name="Table 5-3c" sheetId="77" state="hidden" r:id="rId86"/>
    <sheet name="Table 5-3" sheetId="75" r:id="rId87"/>
    <sheet name="Table 5-4" sheetId="78" r:id="rId88"/>
    <sheet name="Table 5-4b" sheetId="79" state="hidden" r:id="rId89"/>
    <sheet name="Table 5-4c" sheetId="80" state="hidden" r:id="rId90"/>
    <sheet name="Table 81" sheetId="81" state="hidden" r:id="rId91"/>
    <sheet name="Table 82" sheetId="82" state="hidden" r:id="rId92"/>
    <sheet name="Table 83" sheetId="83" state="hidden" r:id="rId93"/>
    <sheet name="Table 6-1b" sheetId="85" state="hidden" r:id="rId94"/>
    <sheet name="Table 6-1c" sheetId="86" state="hidden" r:id="rId95"/>
    <sheet name="Table 6-1d" sheetId="87" state="hidden" r:id="rId96"/>
    <sheet name="Table 88" sheetId="88" state="hidden" r:id="rId97"/>
    <sheet name="Table 89" sheetId="89" state="hidden" r:id="rId98"/>
    <sheet name="Table 90" sheetId="90" state="hidden" r:id="rId99"/>
    <sheet name="Table 91" sheetId="91" state="hidden" r:id="rId100"/>
    <sheet name="Table 92" sheetId="92" state="hidden" r:id="rId101"/>
    <sheet name="Table 6-1" sheetId="84" r:id="rId102"/>
    <sheet name="Table 6-3b" sheetId="94" state="hidden" r:id="rId103"/>
    <sheet name="Table 6-3c" sheetId="95" state="hidden" r:id="rId104"/>
    <sheet name="Table 6-3" sheetId="93" r:id="rId105"/>
    <sheet name="Table 6-4" sheetId="96" r:id="rId106"/>
    <sheet name="Table 6-4b" sheetId="97" state="hidden" r:id="rId107"/>
    <sheet name="Med Annual Salary by Cert Demos" sheetId="108" r:id="rId108"/>
    <sheet name="Med Weekly Salary by Cert Occu" sheetId="109" r:id="rId109"/>
    <sheet name="Table 6-4c Data Key" sheetId="98" r:id="rId110"/>
    <sheet name="Data Key1" sheetId="99" r:id="rId111"/>
    <sheet name="Data Key2" sheetId="100" r:id="rId112"/>
    <sheet name="Data Key3" sheetId="101" r:id="rId113"/>
    <sheet name="Data Key4" sheetId="102" r:id="rId114"/>
    <sheet name="Data Key5" sheetId="103" r:id="rId115"/>
    <sheet name="Data Key6" sheetId="104" r:id="rId116"/>
    <sheet name="Data Key7" sheetId="105" r:id="rId117"/>
    <sheet name="Data Key8" sheetId="106" r:id="rId118"/>
  </sheets>
  <definedNames>
    <definedName name="solver_eng" localSheetId="101" hidden="1">1</definedName>
    <definedName name="solver_neg" localSheetId="101" hidden="1">1</definedName>
    <definedName name="solver_num" localSheetId="101" hidden="1">0</definedName>
    <definedName name="solver_opt" localSheetId="101" hidden="1">'Table 6-1'!#REF!</definedName>
    <definedName name="solver_typ" localSheetId="101" hidden="1">1</definedName>
    <definedName name="solver_val" localSheetId="101" hidden="1">0</definedName>
    <definedName name="solver_ver" localSheetId="101"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4" l="1"/>
  <c r="D28" i="114"/>
  <c r="J29" i="114"/>
  <c r="I29" i="114"/>
  <c r="J28" i="114"/>
  <c r="I28" i="114"/>
  <c r="J24" i="114"/>
  <c r="J26" i="114"/>
  <c r="I26" i="114"/>
  <c r="I24" i="114"/>
  <c r="L17" i="114"/>
  <c r="AC92" i="75"/>
  <c r="AC91" i="75"/>
  <c r="AC90" i="75"/>
  <c r="AI84" i="75"/>
  <c r="B41" i="113"/>
  <c r="B40" i="113"/>
  <c r="B37" i="113"/>
  <c r="H15" i="113"/>
  <c r="B42" i="110"/>
  <c r="B41" i="110"/>
  <c r="B39" i="110"/>
  <c r="B38" i="110"/>
  <c r="W8" i="108"/>
  <c r="U8" i="108"/>
  <c r="AC83" i="75"/>
  <c r="H13" i="113"/>
  <c r="H12" i="113"/>
  <c r="J46" i="114"/>
  <c r="J47" i="114"/>
  <c r="I47" i="114"/>
  <c r="I46" i="114"/>
  <c r="E44" i="114"/>
  <c r="D44" i="114"/>
  <c r="E43" i="114"/>
  <c r="D43" i="114"/>
  <c r="E42" i="114"/>
  <c r="D42" i="114"/>
  <c r="E40" i="114"/>
  <c r="D40" i="114"/>
  <c r="E39" i="114"/>
  <c r="D39" i="114"/>
  <c r="E38" i="114"/>
  <c r="D38" i="114"/>
  <c r="E37" i="114"/>
  <c r="D37" i="114"/>
  <c r="E36" i="114"/>
  <c r="D36" i="114"/>
  <c r="E35" i="114"/>
  <c r="D35" i="114"/>
  <c r="E34" i="114"/>
  <c r="D34" i="114"/>
  <c r="D33" i="114"/>
  <c r="E33" i="114"/>
  <c r="E46" i="114"/>
  <c r="E47" i="114"/>
  <c r="E32" i="114"/>
  <c r="D46" i="114"/>
  <c r="D47" i="114"/>
  <c r="D32" i="114"/>
  <c r="E29" i="114"/>
  <c r="D29" i="114"/>
  <c r="D24" i="114"/>
  <c r="E24" i="114"/>
  <c r="J25" i="114"/>
  <c r="J23" i="114"/>
  <c r="I25" i="114"/>
  <c r="I23" i="114"/>
  <c r="E23" i="114"/>
  <c r="D23" i="114"/>
  <c r="G41" i="114"/>
  <c r="G33" i="114"/>
  <c r="M16" i="114"/>
  <c r="M17" i="114"/>
  <c r="L16" i="114"/>
  <c r="H10" i="113"/>
  <c r="L4" i="114"/>
  <c r="H15" i="114"/>
  <c r="M5" i="114"/>
  <c r="M6" i="114"/>
  <c r="M9" i="114"/>
  <c r="M10" i="114"/>
  <c r="L5" i="114"/>
  <c r="L6" i="114"/>
  <c r="L9" i="114"/>
  <c r="L10" i="114"/>
  <c r="M4" i="114"/>
  <c r="B37" i="110"/>
  <c r="H10" i="110"/>
  <c r="H10" i="111"/>
  <c r="H14" i="112"/>
  <c r="H10" i="112"/>
  <c r="J5" i="112"/>
  <c r="J3" i="112"/>
  <c r="H12" i="112"/>
  <c r="D17" i="112"/>
  <c r="D15" i="112"/>
  <c r="D14" i="112"/>
  <c r="D9" i="112"/>
  <c r="B39" i="112"/>
  <c r="J5" i="111"/>
  <c r="J3" i="111"/>
  <c r="H12" i="111"/>
  <c r="D17" i="111"/>
  <c r="D11" i="111"/>
  <c r="D8" i="111"/>
  <c r="B39" i="111"/>
  <c r="H13" i="110"/>
  <c r="H12" i="110"/>
  <c r="J5" i="110"/>
  <c r="J3" i="110"/>
  <c r="B40" i="110"/>
  <c r="D16" i="110"/>
  <c r="D11" i="110"/>
  <c r="D8" i="110"/>
  <c r="J3" i="113"/>
  <c r="B39" i="113"/>
  <c r="D16" i="113"/>
  <c r="D8" i="113"/>
  <c r="J33" i="114" l="1"/>
  <c r="I33" i="114"/>
  <c r="J41" i="114"/>
  <c r="I41" i="114"/>
  <c r="H18" i="114"/>
  <c r="M15" i="114"/>
  <c r="L15" i="114"/>
  <c r="H14" i="110"/>
  <c r="J6" i="111"/>
  <c r="H13" i="111" s="1"/>
  <c r="H14" i="111" s="1"/>
  <c r="J6" i="113"/>
  <c r="J6" i="112"/>
  <c r="H13" i="112" s="1"/>
  <c r="AC85" i="75"/>
  <c r="D33" i="112"/>
  <c r="D32" i="113"/>
  <c r="B32" i="113"/>
  <c r="H6" i="113"/>
  <c r="B33" i="112"/>
  <c r="H6" i="112"/>
  <c r="B33" i="111"/>
  <c r="H6" i="111"/>
  <c r="H6" i="110"/>
  <c r="S9" i="108"/>
  <c r="S10" i="108"/>
  <c r="S11" i="108"/>
  <c r="V11" i="108" s="1"/>
  <c r="S12" i="108"/>
  <c r="V12" i="108" s="1"/>
  <c r="S13" i="108"/>
  <c r="S14" i="108"/>
  <c r="V14" i="108" s="1"/>
  <c r="S15" i="108"/>
  <c r="V15" i="108" s="1"/>
  <c r="S16" i="108"/>
  <c r="V16" i="108" s="1"/>
  <c r="S17" i="108"/>
  <c r="S18" i="108"/>
  <c r="S19" i="108"/>
  <c r="V19" i="108" s="1"/>
  <c r="S20" i="108"/>
  <c r="V20" i="108" s="1"/>
  <c r="S21" i="108"/>
  <c r="S22" i="108"/>
  <c r="S23" i="108"/>
  <c r="V23" i="108" s="1"/>
  <c r="S24" i="108"/>
  <c r="V24" i="108" s="1"/>
  <c r="S25" i="108"/>
  <c r="S26" i="108"/>
  <c r="S27" i="108"/>
  <c r="S28" i="108"/>
  <c r="S29" i="108"/>
  <c r="S30" i="108"/>
  <c r="V30" i="108" s="1"/>
  <c r="S31" i="108"/>
  <c r="V31" i="108" s="1"/>
  <c r="S32" i="108"/>
  <c r="V32" i="108" s="1"/>
  <c r="S33" i="108"/>
  <c r="S34" i="108"/>
  <c r="S35" i="108"/>
  <c r="S36" i="108"/>
  <c r="S37" i="108"/>
  <c r="S38" i="108"/>
  <c r="V38" i="108" s="1"/>
  <c r="S39" i="108"/>
  <c r="V39" i="108" s="1"/>
  <c r="S40" i="108"/>
  <c r="V40" i="108" s="1"/>
  <c r="S41" i="108"/>
  <c r="S42" i="108"/>
  <c r="S43" i="108"/>
  <c r="S44" i="108"/>
  <c r="V44" i="108" s="1"/>
  <c r="S45" i="108"/>
  <c r="S46" i="108"/>
  <c r="S47" i="108"/>
  <c r="S48" i="108"/>
  <c r="V48" i="108" s="1"/>
  <c r="S49" i="108"/>
  <c r="S50" i="108"/>
  <c r="S51" i="108"/>
  <c r="S52" i="108"/>
  <c r="S53" i="108"/>
  <c r="S54" i="108"/>
  <c r="S55" i="108"/>
  <c r="S56" i="108"/>
  <c r="S57" i="108"/>
  <c r="S58" i="108"/>
  <c r="S59" i="108"/>
  <c r="S60" i="108"/>
  <c r="S61" i="108"/>
  <c r="S62" i="108"/>
  <c r="S63" i="108"/>
  <c r="V63" i="108" s="1"/>
  <c r="S64" i="108"/>
  <c r="V64" i="108" s="1"/>
  <c r="S65" i="108"/>
  <c r="S66" i="108"/>
  <c r="S67" i="108"/>
  <c r="V67" i="108" s="1"/>
  <c r="S68" i="108"/>
  <c r="V68" i="108" s="1"/>
  <c r="S69" i="108"/>
  <c r="S70" i="108"/>
  <c r="V70" i="108" s="1"/>
  <c r="S71" i="108"/>
  <c r="V71" i="108" s="1"/>
  <c r="R9" i="108"/>
  <c r="R10" i="108"/>
  <c r="R11" i="108"/>
  <c r="R12" i="108"/>
  <c r="U12" i="108" s="1"/>
  <c r="R13" i="108"/>
  <c r="U13" i="108" s="1"/>
  <c r="R14" i="108"/>
  <c r="U14" i="108" s="1"/>
  <c r="R15" i="108"/>
  <c r="U15" i="108" s="1"/>
  <c r="R16" i="108"/>
  <c r="U16" i="108" s="1"/>
  <c r="R17" i="108"/>
  <c r="R18" i="108"/>
  <c r="R19" i="108"/>
  <c r="R20" i="108"/>
  <c r="U20" i="108" s="1"/>
  <c r="R21" i="108"/>
  <c r="U21" i="108" s="1"/>
  <c r="R22" i="108"/>
  <c r="R23" i="108"/>
  <c r="U23" i="108" s="1"/>
  <c r="R24" i="108"/>
  <c r="U24" i="108" s="1"/>
  <c r="R25" i="108"/>
  <c r="R26" i="108"/>
  <c r="R27" i="108"/>
  <c r="R28" i="108"/>
  <c r="R29" i="108"/>
  <c r="R30" i="108"/>
  <c r="U30" i="108" s="1"/>
  <c r="R31" i="108"/>
  <c r="U31" i="108" s="1"/>
  <c r="R32" i="108"/>
  <c r="U32" i="108" s="1"/>
  <c r="R33" i="108"/>
  <c r="R34" i="108"/>
  <c r="R35" i="108"/>
  <c r="R36" i="108"/>
  <c r="R37" i="108"/>
  <c r="R38" i="108"/>
  <c r="U38" i="108" s="1"/>
  <c r="R39" i="108"/>
  <c r="U39" i="108" s="1"/>
  <c r="R40" i="108"/>
  <c r="U40" i="108" s="1"/>
  <c r="R41" i="108"/>
  <c r="R42" i="108"/>
  <c r="R43" i="108"/>
  <c r="R44" i="108"/>
  <c r="R45" i="108"/>
  <c r="R46" i="108"/>
  <c r="R47" i="108"/>
  <c r="R48" i="108"/>
  <c r="U48" i="108" s="1"/>
  <c r="R49" i="108"/>
  <c r="R50" i="108"/>
  <c r="R51" i="108"/>
  <c r="R52" i="108"/>
  <c r="R53" i="108"/>
  <c r="R54" i="108"/>
  <c r="U54" i="108" s="1"/>
  <c r="R55" i="108"/>
  <c r="R56" i="108"/>
  <c r="R57" i="108"/>
  <c r="R58" i="108"/>
  <c r="R59" i="108"/>
  <c r="R60" i="108"/>
  <c r="R61" i="108"/>
  <c r="R62" i="108"/>
  <c r="R63" i="108"/>
  <c r="U63" i="108" s="1"/>
  <c r="R64" i="108"/>
  <c r="U64" i="108" s="1"/>
  <c r="R65" i="108"/>
  <c r="R66" i="108"/>
  <c r="R67" i="108"/>
  <c r="R68" i="108"/>
  <c r="U68" i="108" s="1"/>
  <c r="R69" i="108"/>
  <c r="U69" i="108" s="1"/>
  <c r="R70" i="108"/>
  <c r="U70" i="108" s="1"/>
  <c r="R71" i="108"/>
  <c r="U71" i="108" s="1"/>
  <c r="S8" i="108"/>
  <c r="R8" i="108"/>
  <c r="Q9" i="108"/>
  <c r="Q10" i="108"/>
  <c r="Q11" i="108"/>
  <c r="Q12" i="108"/>
  <c r="W12" i="108" s="1"/>
  <c r="Q13" i="108"/>
  <c r="Q14" i="108"/>
  <c r="W14" i="108" s="1"/>
  <c r="Q15" i="108"/>
  <c r="Q16" i="108"/>
  <c r="W16" i="108" s="1"/>
  <c r="Q17" i="108"/>
  <c r="Q18" i="108"/>
  <c r="Q19" i="108"/>
  <c r="Q20" i="108"/>
  <c r="Q21" i="108"/>
  <c r="Q22" i="108"/>
  <c r="Q23" i="108"/>
  <c r="Q24" i="108"/>
  <c r="Q25" i="108"/>
  <c r="Q26" i="108"/>
  <c r="Q27" i="108"/>
  <c r="Q28" i="108"/>
  <c r="Q29" i="108"/>
  <c r="W29" i="108" s="1"/>
  <c r="Q30" i="108"/>
  <c r="W30" i="108" s="1"/>
  <c r="Q31" i="108"/>
  <c r="Q32" i="108"/>
  <c r="W32" i="108" s="1"/>
  <c r="Q33" i="108"/>
  <c r="Q34" i="108"/>
  <c r="Q35" i="108"/>
  <c r="Q36" i="108"/>
  <c r="W36" i="108" s="1"/>
  <c r="Q37" i="108"/>
  <c r="W37" i="108" s="1"/>
  <c r="Q38" i="108"/>
  <c r="W38" i="108" s="1"/>
  <c r="Q39" i="108"/>
  <c r="W39" i="108" s="1"/>
  <c r="Q40" i="108"/>
  <c r="W40" i="108" s="1"/>
  <c r="Q41" i="108"/>
  <c r="Q42" i="108"/>
  <c r="Q43" i="108"/>
  <c r="Q44" i="108"/>
  <c r="Q45" i="108"/>
  <c r="Q46" i="108"/>
  <c r="W46" i="108" s="1"/>
  <c r="Q47" i="108"/>
  <c r="W47" i="108" s="1"/>
  <c r="Q48" i="108"/>
  <c r="W48" i="108" s="1"/>
  <c r="Q49" i="108"/>
  <c r="Q50" i="108"/>
  <c r="Q51" i="108"/>
  <c r="Q52" i="108"/>
  <c r="Q53" i="108"/>
  <c r="Q54" i="108"/>
  <c r="Q55" i="108"/>
  <c r="Q56" i="108"/>
  <c r="W56" i="108" s="1"/>
  <c r="Q57" i="108"/>
  <c r="Q58" i="108"/>
  <c r="Q59" i="108"/>
  <c r="Q60" i="108"/>
  <c r="Q61" i="108"/>
  <c r="Q62" i="108"/>
  <c r="Q63" i="108"/>
  <c r="W63" i="108" s="1"/>
  <c r="Q64" i="108"/>
  <c r="W64" i="108" s="1"/>
  <c r="Q65" i="108"/>
  <c r="Q66" i="108"/>
  <c r="Q67" i="108"/>
  <c r="Q68" i="108"/>
  <c r="W68" i="108" s="1"/>
  <c r="Q69" i="108"/>
  <c r="W69" i="108" s="1"/>
  <c r="Q70" i="108"/>
  <c r="W70" i="108" s="1"/>
  <c r="Q71" i="108"/>
  <c r="W71" i="108" s="1"/>
  <c r="Q8" i="108"/>
  <c r="P9" i="108"/>
  <c r="P10" i="108"/>
  <c r="P11" i="108"/>
  <c r="P12" i="108"/>
  <c r="P13" i="108"/>
  <c r="P14" i="108"/>
  <c r="P15" i="108"/>
  <c r="P16" i="108"/>
  <c r="P17" i="108"/>
  <c r="P18" i="108"/>
  <c r="P19" i="108"/>
  <c r="P20" i="108"/>
  <c r="P21" i="108"/>
  <c r="P22" i="108"/>
  <c r="P23" i="108"/>
  <c r="P24" i="108"/>
  <c r="P25" i="108"/>
  <c r="P26" i="108"/>
  <c r="P27" i="108"/>
  <c r="P28" i="108"/>
  <c r="P29" i="108"/>
  <c r="P30" i="108"/>
  <c r="P31" i="108"/>
  <c r="P32" i="108"/>
  <c r="P33" i="108"/>
  <c r="P34" i="108"/>
  <c r="P35" i="108"/>
  <c r="P36" i="108"/>
  <c r="P37" i="108"/>
  <c r="P38" i="108"/>
  <c r="P39" i="108"/>
  <c r="P40" i="108"/>
  <c r="P41" i="108"/>
  <c r="P42" i="108"/>
  <c r="P43" i="108"/>
  <c r="P44" i="108"/>
  <c r="P45" i="108"/>
  <c r="P46" i="108"/>
  <c r="P47" i="108"/>
  <c r="P48" i="108"/>
  <c r="P49" i="108"/>
  <c r="P50" i="108"/>
  <c r="P51" i="108"/>
  <c r="P52" i="108"/>
  <c r="P53" i="108"/>
  <c r="P54" i="108"/>
  <c r="P55" i="108"/>
  <c r="P56" i="108"/>
  <c r="P57" i="108"/>
  <c r="P58" i="108"/>
  <c r="P59" i="108"/>
  <c r="P60" i="108"/>
  <c r="P61" i="108"/>
  <c r="P62" i="108"/>
  <c r="P63" i="108"/>
  <c r="P64" i="108"/>
  <c r="P65" i="108"/>
  <c r="P66" i="108"/>
  <c r="P67" i="108"/>
  <c r="P68" i="108"/>
  <c r="P69" i="108"/>
  <c r="P70" i="108"/>
  <c r="P71" i="108"/>
  <c r="P8" i="108"/>
  <c r="T10" i="108"/>
  <c r="T11" i="108"/>
  <c r="T12" i="108"/>
  <c r="T13" i="108"/>
  <c r="W13" i="108" s="1"/>
  <c r="T14" i="108"/>
  <c r="T15" i="108"/>
  <c r="T16" i="108"/>
  <c r="T17" i="108"/>
  <c r="T18" i="108"/>
  <c r="T19" i="108"/>
  <c r="T20" i="108"/>
  <c r="T21" i="108"/>
  <c r="W21" i="108" s="1"/>
  <c r="T22" i="108"/>
  <c r="T23" i="108"/>
  <c r="T24" i="108"/>
  <c r="T25" i="108"/>
  <c r="T26" i="108"/>
  <c r="T27" i="108"/>
  <c r="T28" i="108"/>
  <c r="T29" i="108"/>
  <c r="T30" i="108"/>
  <c r="T31" i="108"/>
  <c r="T32" i="108"/>
  <c r="T33" i="108"/>
  <c r="T34" i="108"/>
  <c r="T35" i="108"/>
  <c r="T36" i="108"/>
  <c r="T37" i="108"/>
  <c r="T38" i="108"/>
  <c r="T39" i="108"/>
  <c r="T40" i="108"/>
  <c r="T41" i="108"/>
  <c r="T42" i="108"/>
  <c r="T43" i="108"/>
  <c r="T44" i="108"/>
  <c r="T45" i="108"/>
  <c r="T46" i="108"/>
  <c r="T47" i="108"/>
  <c r="T48" i="108"/>
  <c r="T49" i="108"/>
  <c r="T50" i="108"/>
  <c r="T51" i="108"/>
  <c r="T52" i="108"/>
  <c r="T53" i="108"/>
  <c r="T54" i="108"/>
  <c r="T55" i="108"/>
  <c r="T56" i="108"/>
  <c r="T57" i="108"/>
  <c r="W57" i="108" s="1"/>
  <c r="T58" i="108"/>
  <c r="T59" i="108"/>
  <c r="T60" i="108"/>
  <c r="T61" i="108"/>
  <c r="T62" i="108"/>
  <c r="T63" i="108"/>
  <c r="T64" i="108"/>
  <c r="T65" i="108"/>
  <c r="W65" i="108" s="1"/>
  <c r="T66" i="108"/>
  <c r="T67" i="108"/>
  <c r="T68" i="108"/>
  <c r="T69" i="108"/>
  <c r="T70" i="108"/>
  <c r="T71" i="108"/>
  <c r="T9" i="108"/>
  <c r="T8" i="108"/>
  <c r="V8" i="108"/>
  <c r="J6" i="96"/>
  <c r="K6" i="96"/>
  <c r="L6" i="96"/>
  <c r="M6" i="96"/>
  <c r="N6" i="96"/>
  <c r="O6" i="96"/>
  <c r="P6" i="96"/>
  <c r="J7" i="96"/>
  <c r="K7" i="96"/>
  <c r="L7" i="96"/>
  <c r="M7" i="96"/>
  <c r="N7" i="96"/>
  <c r="O7" i="96"/>
  <c r="P7" i="96"/>
  <c r="J8" i="96"/>
  <c r="K8" i="96"/>
  <c r="L8" i="96"/>
  <c r="M8" i="96"/>
  <c r="N8" i="96"/>
  <c r="O8" i="96"/>
  <c r="P8" i="96"/>
  <c r="J9" i="96"/>
  <c r="K9" i="96"/>
  <c r="L9" i="96"/>
  <c r="M9" i="96"/>
  <c r="N9" i="96"/>
  <c r="O9" i="96"/>
  <c r="P9" i="96"/>
  <c r="J10" i="96"/>
  <c r="K10" i="96"/>
  <c r="L10" i="96"/>
  <c r="M10" i="96"/>
  <c r="N10" i="96"/>
  <c r="O10" i="96"/>
  <c r="P10" i="96"/>
  <c r="J11" i="96"/>
  <c r="K11" i="96"/>
  <c r="L11" i="96"/>
  <c r="M11" i="96"/>
  <c r="N11" i="96"/>
  <c r="O11" i="96"/>
  <c r="P11" i="96"/>
  <c r="J12" i="96"/>
  <c r="K12" i="96"/>
  <c r="L12" i="96"/>
  <c r="M12" i="96"/>
  <c r="N12" i="96"/>
  <c r="O12" i="96"/>
  <c r="P12" i="96"/>
  <c r="J13" i="96"/>
  <c r="K13" i="96"/>
  <c r="L13" i="96"/>
  <c r="M13" i="96"/>
  <c r="N13" i="96"/>
  <c r="O13" i="96"/>
  <c r="P13" i="96"/>
  <c r="J14" i="96"/>
  <c r="K14" i="96"/>
  <c r="L14" i="96"/>
  <c r="M14" i="96"/>
  <c r="N14" i="96"/>
  <c r="O14" i="96"/>
  <c r="P14" i="96"/>
  <c r="J15" i="96"/>
  <c r="K15" i="96"/>
  <c r="L15" i="96"/>
  <c r="M15" i="96"/>
  <c r="N15" i="96"/>
  <c r="O15" i="96"/>
  <c r="P15" i="96"/>
  <c r="J16" i="96"/>
  <c r="K16" i="96"/>
  <c r="L16" i="96"/>
  <c r="M16" i="96"/>
  <c r="N16" i="96"/>
  <c r="O16" i="96"/>
  <c r="P16" i="96"/>
  <c r="J17" i="96"/>
  <c r="K17" i="96"/>
  <c r="L17" i="96"/>
  <c r="M17" i="96"/>
  <c r="N17" i="96"/>
  <c r="O17" i="96"/>
  <c r="P17" i="96"/>
  <c r="J18" i="96"/>
  <c r="K18" i="96"/>
  <c r="L18" i="96"/>
  <c r="M18" i="96"/>
  <c r="N18" i="96"/>
  <c r="O18" i="96"/>
  <c r="P18" i="96"/>
  <c r="J19" i="96"/>
  <c r="K19" i="96"/>
  <c r="L19" i="96"/>
  <c r="M19" i="96"/>
  <c r="N19" i="96"/>
  <c r="O19" i="96"/>
  <c r="P19" i="96"/>
  <c r="J20" i="96"/>
  <c r="K20" i="96"/>
  <c r="L20" i="96"/>
  <c r="M20" i="96"/>
  <c r="N20" i="96"/>
  <c r="O20" i="96"/>
  <c r="P20" i="96"/>
  <c r="J21" i="96"/>
  <c r="K21" i="96"/>
  <c r="L21" i="96"/>
  <c r="M21" i="96"/>
  <c r="N21" i="96"/>
  <c r="O21" i="96"/>
  <c r="P21" i="96"/>
  <c r="J22" i="96"/>
  <c r="K22" i="96"/>
  <c r="L22" i="96"/>
  <c r="M22" i="96"/>
  <c r="N22" i="96"/>
  <c r="O22" i="96"/>
  <c r="P22" i="96"/>
  <c r="J23" i="96"/>
  <c r="K23" i="96"/>
  <c r="L23" i="96"/>
  <c r="M23" i="96"/>
  <c r="N23" i="96"/>
  <c r="O23" i="96"/>
  <c r="P23" i="96"/>
  <c r="J24" i="96"/>
  <c r="K24" i="96"/>
  <c r="L24" i="96"/>
  <c r="M24" i="96"/>
  <c r="N24" i="96"/>
  <c r="O24" i="96"/>
  <c r="P24" i="96"/>
  <c r="J25" i="96"/>
  <c r="K25" i="96"/>
  <c r="L25" i="96"/>
  <c r="M25" i="96"/>
  <c r="N25" i="96"/>
  <c r="O25" i="96"/>
  <c r="P25" i="96"/>
  <c r="J26" i="96"/>
  <c r="K26" i="96"/>
  <c r="L26" i="96"/>
  <c r="M26" i="96"/>
  <c r="N26" i="96"/>
  <c r="O26" i="96"/>
  <c r="P26" i="96"/>
  <c r="J27" i="96"/>
  <c r="K27" i="96"/>
  <c r="L27" i="96"/>
  <c r="M27" i="96"/>
  <c r="N27" i="96"/>
  <c r="O27" i="96"/>
  <c r="P27" i="96"/>
  <c r="J28" i="96"/>
  <c r="K28" i="96"/>
  <c r="L28" i="96"/>
  <c r="M28" i="96"/>
  <c r="N28" i="96"/>
  <c r="O28" i="96"/>
  <c r="P28" i="96"/>
  <c r="J29" i="96"/>
  <c r="K29" i="96"/>
  <c r="L29" i="96"/>
  <c r="M29" i="96"/>
  <c r="N29" i="96"/>
  <c r="O29" i="96"/>
  <c r="P29" i="96"/>
  <c r="J30" i="96"/>
  <c r="K30" i="96"/>
  <c r="L30" i="96"/>
  <c r="M30" i="96"/>
  <c r="N30" i="96"/>
  <c r="O30" i="96"/>
  <c r="P30" i="96"/>
  <c r="J31" i="96"/>
  <c r="K31" i="96"/>
  <c r="L31" i="96"/>
  <c r="M31" i="96"/>
  <c r="N31" i="96"/>
  <c r="O31" i="96"/>
  <c r="P31" i="96"/>
  <c r="J32" i="96"/>
  <c r="K32" i="96"/>
  <c r="L32" i="96"/>
  <c r="M32" i="96"/>
  <c r="N32" i="96"/>
  <c r="O32" i="96"/>
  <c r="P32" i="96"/>
  <c r="J33" i="96"/>
  <c r="K33" i="96"/>
  <c r="L33" i="96"/>
  <c r="M33" i="96"/>
  <c r="N33" i="96"/>
  <c r="O33" i="96"/>
  <c r="P33" i="96"/>
  <c r="J34" i="96"/>
  <c r="K34" i="96"/>
  <c r="L34" i="96"/>
  <c r="M34" i="96"/>
  <c r="N34" i="96"/>
  <c r="O34" i="96"/>
  <c r="P34" i="96"/>
  <c r="J35" i="96"/>
  <c r="K35" i="96"/>
  <c r="L35" i="96"/>
  <c r="M35" i="96"/>
  <c r="N35" i="96"/>
  <c r="O35" i="96"/>
  <c r="P35" i="96"/>
  <c r="J36" i="96"/>
  <c r="K36" i="96"/>
  <c r="L36" i="96"/>
  <c r="M36" i="96"/>
  <c r="N36" i="96"/>
  <c r="O36" i="96"/>
  <c r="P36" i="96"/>
  <c r="J37" i="96"/>
  <c r="K37" i="96"/>
  <c r="L37" i="96"/>
  <c r="M37" i="96"/>
  <c r="N37" i="96"/>
  <c r="O37" i="96"/>
  <c r="P37" i="96"/>
  <c r="J38" i="96"/>
  <c r="K38" i="96"/>
  <c r="L38" i="96"/>
  <c r="M38" i="96"/>
  <c r="N38" i="96"/>
  <c r="O38" i="96"/>
  <c r="P38" i="96"/>
  <c r="J39" i="96"/>
  <c r="K39" i="96"/>
  <c r="L39" i="96"/>
  <c r="M39" i="96"/>
  <c r="N39" i="96"/>
  <c r="O39" i="96"/>
  <c r="P39" i="96"/>
  <c r="J49" i="96"/>
  <c r="K49" i="96"/>
  <c r="L49" i="96"/>
  <c r="M49" i="96"/>
  <c r="N49" i="96"/>
  <c r="O49" i="96"/>
  <c r="P49" i="96"/>
  <c r="J50" i="96"/>
  <c r="K50" i="96"/>
  <c r="L50" i="96"/>
  <c r="M50" i="96"/>
  <c r="N50" i="96"/>
  <c r="O50" i="96"/>
  <c r="P50" i="96"/>
  <c r="J51" i="96"/>
  <c r="K51" i="96"/>
  <c r="L51" i="96"/>
  <c r="M51" i="96"/>
  <c r="N51" i="96"/>
  <c r="O51" i="96"/>
  <c r="P51" i="96"/>
  <c r="J52" i="96"/>
  <c r="K52" i="96"/>
  <c r="L52" i="96"/>
  <c r="M52" i="96"/>
  <c r="N52" i="96"/>
  <c r="O52" i="96"/>
  <c r="P52" i="96"/>
  <c r="J53" i="96"/>
  <c r="K53" i="96"/>
  <c r="L53" i="96"/>
  <c r="M53" i="96"/>
  <c r="N53" i="96"/>
  <c r="O53" i="96"/>
  <c r="P53" i="96"/>
  <c r="J54" i="96"/>
  <c r="K54" i="96"/>
  <c r="L54" i="96"/>
  <c r="M54" i="96"/>
  <c r="N54" i="96"/>
  <c r="O54" i="96"/>
  <c r="P54" i="96"/>
  <c r="J55" i="96"/>
  <c r="K55" i="96"/>
  <c r="L55" i="96"/>
  <c r="M55" i="96"/>
  <c r="N55" i="96"/>
  <c r="O55" i="96"/>
  <c r="P55" i="96"/>
  <c r="J56" i="96"/>
  <c r="K56" i="96"/>
  <c r="L56" i="96"/>
  <c r="M56" i="96"/>
  <c r="N56" i="96"/>
  <c r="O56" i="96"/>
  <c r="P56" i="96"/>
  <c r="J57" i="96"/>
  <c r="K57" i="96"/>
  <c r="L57" i="96"/>
  <c r="M57" i="96"/>
  <c r="N57" i="96"/>
  <c r="O57" i="96"/>
  <c r="P57" i="96"/>
  <c r="J58" i="96"/>
  <c r="K58" i="96"/>
  <c r="L58" i="96"/>
  <c r="M58" i="96"/>
  <c r="N58" i="96"/>
  <c r="O58" i="96"/>
  <c r="P58" i="96"/>
  <c r="J59" i="96"/>
  <c r="K59" i="96"/>
  <c r="L59" i="96"/>
  <c r="M59" i="96"/>
  <c r="N59" i="96"/>
  <c r="O59" i="96"/>
  <c r="P59" i="96"/>
  <c r="J60" i="96"/>
  <c r="K60" i="96"/>
  <c r="L60" i="96"/>
  <c r="M60" i="96"/>
  <c r="N60" i="96"/>
  <c r="O60" i="96"/>
  <c r="P60" i="96"/>
  <c r="J61" i="96"/>
  <c r="K61" i="96"/>
  <c r="L61" i="96"/>
  <c r="M61" i="96"/>
  <c r="N61" i="96"/>
  <c r="O61" i="96"/>
  <c r="P61" i="96"/>
  <c r="J62" i="96"/>
  <c r="K62" i="96"/>
  <c r="L62" i="96"/>
  <c r="M62" i="96"/>
  <c r="N62" i="96"/>
  <c r="O62" i="96"/>
  <c r="P62" i="96"/>
  <c r="J63" i="96"/>
  <c r="K63" i="96"/>
  <c r="L63" i="96"/>
  <c r="M63" i="96"/>
  <c r="N63" i="96"/>
  <c r="O63" i="96"/>
  <c r="P63" i="96"/>
  <c r="J64" i="96"/>
  <c r="K64" i="96"/>
  <c r="L64" i="96"/>
  <c r="M64" i="96"/>
  <c r="N64" i="96"/>
  <c r="O64" i="96"/>
  <c r="P64" i="96"/>
  <c r="J65" i="96"/>
  <c r="K65" i="96"/>
  <c r="L65" i="96"/>
  <c r="M65" i="96"/>
  <c r="N65" i="96"/>
  <c r="O65" i="96"/>
  <c r="P65" i="96"/>
  <c r="J66" i="96"/>
  <c r="K66" i="96"/>
  <c r="L66" i="96"/>
  <c r="M66" i="96"/>
  <c r="N66" i="96"/>
  <c r="O66" i="96"/>
  <c r="P66" i="96"/>
  <c r="J67" i="96"/>
  <c r="K67" i="96"/>
  <c r="L67" i="96"/>
  <c r="M67" i="96"/>
  <c r="N67" i="96"/>
  <c r="O67" i="96"/>
  <c r="P67" i="96"/>
  <c r="J68" i="96"/>
  <c r="K68" i="96"/>
  <c r="L68" i="96"/>
  <c r="M68" i="96"/>
  <c r="N68" i="96"/>
  <c r="O68" i="96"/>
  <c r="P68" i="96"/>
  <c r="J69" i="96"/>
  <c r="K69" i="96"/>
  <c r="L69" i="96"/>
  <c r="M69" i="96"/>
  <c r="N69" i="96"/>
  <c r="O69" i="96"/>
  <c r="P69" i="96"/>
  <c r="J70" i="96"/>
  <c r="K70" i="96"/>
  <c r="L70" i="96"/>
  <c r="M70" i="96"/>
  <c r="N70" i="96"/>
  <c r="O70" i="96"/>
  <c r="P70" i="96"/>
  <c r="J71" i="96"/>
  <c r="K71" i="96"/>
  <c r="L71" i="96"/>
  <c r="M71" i="96"/>
  <c r="N71" i="96"/>
  <c r="O71" i="96"/>
  <c r="P71" i="96"/>
  <c r="J72" i="96"/>
  <c r="K72" i="96"/>
  <c r="L72" i="96"/>
  <c r="M72" i="96"/>
  <c r="N72" i="96"/>
  <c r="O72" i="96"/>
  <c r="P72" i="96"/>
  <c r="J73" i="96"/>
  <c r="K73" i="96"/>
  <c r="L73" i="96"/>
  <c r="M73" i="96"/>
  <c r="N73" i="96"/>
  <c r="O73" i="96"/>
  <c r="P73" i="96"/>
  <c r="J74" i="96"/>
  <c r="K74" i="96"/>
  <c r="L74" i="96"/>
  <c r="M74" i="96"/>
  <c r="N74" i="96"/>
  <c r="O74" i="96"/>
  <c r="P74" i="96"/>
  <c r="J75" i="96"/>
  <c r="K75" i="96"/>
  <c r="L75" i="96"/>
  <c r="M75" i="96"/>
  <c r="N75" i="96"/>
  <c r="O75" i="96"/>
  <c r="P75" i="96"/>
  <c r="J76" i="96"/>
  <c r="K76" i="96"/>
  <c r="L76" i="96"/>
  <c r="M76" i="96"/>
  <c r="N76" i="96"/>
  <c r="O76" i="96"/>
  <c r="P76" i="96"/>
  <c r="J77" i="96"/>
  <c r="K77" i="96"/>
  <c r="L77" i="96"/>
  <c r="M77" i="96"/>
  <c r="N77" i="96"/>
  <c r="O77" i="96"/>
  <c r="P77" i="96"/>
  <c r="J78" i="96"/>
  <c r="K78" i="96"/>
  <c r="L78" i="96"/>
  <c r="M78" i="96"/>
  <c r="N78" i="96"/>
  <c r="O78" i="96"/>
  <c r="P78" i="96"/>
  <c r="J79" i="96"/>
  <c r="K79" i="96"/>
  <c r="L79" i="96"/>
  <c r="M79" i="96"/>
  <c r="N79" i="96"/>
  <c r="O79" i="96"/>
  <c r="P79" i="96"/>
  <c r="J80" i="96"/>
  <c r="K80" i="96"/>
  <c r="L80" i="96"/>
  <c r="M80" i="96"/>
  <c r="N80" i="96"/>
  <c r="O80" i="96"/>
  <c r="P80" i="96"/>
  <c r="J81" i="96"/>
  <c r="K81" i="96"/>
  <c r="L81" i="96"/>
  <c r="M81" i="96"/>
  <c r="N81" i="96"/>
  <c r="O81" i="96"/>
  <c r="P81" i="96"/>
  <c r="J82" i="96"/>
  <c r="K82" i="96"/>
  <c r="L82" i="96"/>
  <c r="M82" i="96"/>
  <c r="N82" i="96"/>
  <c r="O82" i="96"/>
  <c r="P82" i="96"/>
  <c r="J83" i="96"/>
  <c r="K83" i="96"/>
  <c r="L83" i="96"/>
  <c r="M83" i="96"/>
  <c r="N83" i="96"/>
  <c r="O83" i="96"/>
  <c r="P83" i="96"/>
  <c r="J84" i="96"/>
  <c r="K84" i="96"/>
  <c r="L84" i="96"/>
  <c r="M84" i="96"/>
  <c r="N84" i="96"/>
  <c r="O84" i="96"/>
  <c r="P84" i="96"/>
  <c r="J94" i="96"/>
  <c r="K94" i="96"/>
  <c r="L94" i="96"/>
  <c r="M94" i="96"/>
  <c r="N94" i="96"/>
  <c r="O94" i="96"/>
  <c r="P94" i="96"/>
  <c r="J95" i="96"/>
  <c r="K95" i="96"/>
  <c r="L95" i="96"/>
  <c r="M95" i="96"/>
  <c r="N95" i="96"/>
  <c r="O95" i="96"/>
  <c r="P95" i="96"/>
  <c r="J96" i="96"/>
  <c r="K96" i="96"/>
  <c r="L96" i="96"/>
  <c r="M96" i="96"/>
  <c r="N96" i="96"/>
  <c r="O96" i="96"/>
  <c r="P96" i="96"/>
  <c r="J97" i="96"/>
  <c r="K97" i="96"/>
  <c r="L97" i="96"/>
  <c r="M97" i="96"/>
  <c r="N97" i="96"/>
  <c r="O97" i="96"/>
  <c r="P97" i="96"/>
  <c r="J98" i="96"/>
  <c r="K98" i="96"/>
  <c r="L98" i="96"/>
  <c r="M98" i="96"/>
  <c r="N98" i="96"/>
  <c r="O98" i="96"/>
  <c r="P98" i="96"/>
  <c r="J99" i="96"/>
  <c r="K99" i="96"/>
  <c r="L99" i="96"/>
  <c r="M99" i="96"/>
  <c r="N99" i="96"/>
  <c r="O99" i="96"/>
  <c r="P99" i="96"/>
  <c r="J100" i="96"/>
  <c r="K100" i="96"/>
  <c r="L100" i="96"/>
  <c r="M100" i="96"/>
  <c r="N100" i="96"/>
  <c r="O100" i="96"/>
  <c r="P100" i="96"/>
  <c r="J101" i="96"/>
  <c r="K101" i="96"/>
  <c r="L101" i="96"/>
  <c r="M101" i="96"/>
  <c r="N101" i="96"/>
  <c r="O101" i="96"/>
  <c r="P101" i="96"/>
  <c r="J102" i="96"/>
  <c r="K102" i="96"/>
  <c r="L102" i="96"/>
  <c r="M102" i="96"/>
  <c r="N102" i="96"/>
  <c r="O102" i="96"/>
  <c r="P102" i="96"/>
  <c r="J103" i="96"/>
  <c r="K103" i="96"/>
  <c r="L103" i="96"/>
  <c r="M103" i="96"/>
  <c r="N103" i="96"/>
  <c r="O103" i="96"/>
  <c r="P103" i="96"/>
  <c r="J104" i="96"/>
  <c r="K104" i="96"/>
  <c r="L104" i="96"/>
  <c r="M104" i="96"/>
  <c r="N104" i="96"/>
  <c r="O104" i="96"/>
  <c r="P104" i="96"/>
  <c r="J105" i="96"/>
  <c r="K105" i="96"/>
  <c r="L105" i="96"/>
  <c r="M105" i="96"/>
  <c r="N105" i="96"/>
  <c r="O105" i="96"/>
  <c r="P105" i="96"/>
  <c r="J106" i="96"/>
  <c r="K106" i="96"/>
  <c r="L106" i="96"/>
  <c r="M106" i="96"/>
  <c r="N106" i="96"/>
  <c r="O106" i="96"/>
  <c r="P106" i="96"/>
  <c r="J107" i="96"/>
  <c r="K107" i="96"/>
  <c r="L107" i="96"/>
  <c r="M107" i="96"/>
  <c r="N107" i="96"/>
  <c r="O107" i="96"/>
  <c r="P107" i="96"/>
  <c r="J108" i="96"/>
  <c r="K108" i="96"/>
  <c r="L108" i="96"/>
  <c r="M108" i="96"/>
  <c r="N108" i="96"/>
  <c r="O108" i="96"/>
  <c r="P108" i="96"/>
  <c r="J109" i="96"/>
  <c r="K109" i="96"/>
  <c r="L109" i="96"/>
  <c r="M109" i="96"/>
  <c r="N109" i="96"/>
  <c r="O109" i="96"/>
  <c r="P109" i="96"/>
  <c r="J110" i="96"/>
  <c r="K110" i="96"/>
  <c r="L110" i="96"/>
  <c r="M110" i="96"/>
  <c r="N110" i="96"/>
  <c r="O110" i="96"/>
  <c r="P110" i="96"/>
  <c r="J111" i="96"/>
  <c r="K111" i="96"/>
  <c r="L111" i="96"/>
  <c r="M111" i="96"/>
  <c r="N111" i="96"/>
  <c r="O111" i="96"/>
  <c r="P111" i="96"/>
  <c r="J112" i="96"/>
  <c r="K112" i="96"/>
  <c r="L112" i="96"/>
  <c r="M112" i="96"/>
  <c r="N112" i="96"/>
  <c r="O112" i="96"/>
  <c r="P112" i="96"/>
  <c r="J113" i="96"/>
  <c r="K113" i="96"/>
  <c r="L113" i="96"/>
  <c r="M113" i="96"/>
  <c r="N113" i="96"/>
  <c r="O113" i="96"/>
  <c r="P113" i="96"/>
  <c r="J114" i="96"/>
  <c r="K114" i="96"/>
  <c r="L114" i="96"/>
  <c r="M114" i="96"/>
  <c r="N114" i="96"/>
  <c r="O114" i="96"/>
  <c r="P114" i="96"/>
  <c r="J115" i="96"/>
  <c r="K115" i="96"/>
  <c r="L115" i="96"/>
  <c r="M115" i="96"/>
  <c r="N115" i="96"/>
  <c r="O115" i="96"/>
  <c r="P115" i="96"/>
  <c r="J116" i="96"/>
  <c r="K116" i="96"/>
  <c r="L116" i="96"/>
  <c r="M116" i="96"/>
  <c r="N116" i="96"/>
  <c r="O116" i="96"/>
  <c r="P116" i="96"/>
  <c r="J117" i="96"/>
  <c r="K117" i="96"/>
  <c r="L117" i="96"/>
  <c r="M117" i="96"/>
  <c r="N117" i="96"/>
  <c r="O117" i="96"/>
  <c r="P117" i="96"/>
  <c r="J118" i="96"/>
  <c r="K118" i="96"/>
  <c r="L118" i="96"/>
  <c r="M118" i="96"/>
  <c r="N118" i="96"/>
  <c r="O118" i="96"/>
  <c r="P118" i="96"/>
  <c r="J119" i="96"/>
  <c r="K119" i="96"/>
  <c r="L119" i="96"/>
  <c r="M119" i="96"/>
  <c r="N119" i="96"/>
  <c r="O119" i="96"/>
  <c r="P119" i="96"/>
  <c r="J120" i="96"/>
  <c r="K120" i="96"/>
  <c r="L120" i="96"/>
  <c r="M120" i="96"/>
  <c r="N120" i="96"/>
  <c r="O120" i="96"/>
  <c r="P120" i="96"/>
  <c r="J121" i="96"/>
  <c r="K121" i="96"/>
  <c r="L121" i="96"/>
  <c r="M121" i="96"/>
  <c r="N121" i="96"/>
  <c r="O121" i="96"/>
  <c r="P121" i="96"/>
  <c r="J122" i="96"/>
  <c r="K122" i="96"/>
  <c r="L122" i="96"/>
  <c r="M122" i="96"/>
  <c r="N122" i="96"/>
  <c r="O122" i="96"/>
  <c r="P122" i="96"/>
  <c r="J123" i="96"/>
  <c r="K123" i="96"/>
  <c r="L123" i="96"/>
  <c r="M123" i="96"/>
  <c r="N123" i="96"/>
  <c r="O123" i="96"/>
  <c r="P123" i="96"/>
  <c r="J124" i="96"/>
  <c r="K124" i="96"/>
  <c r="L124" i="96"/>
  <c r="M124" i="96"/>
  <c r="N124" i="96"/>
  <c r="O124" i="96"/>
  <c r="P124" i="96"/>
  <c r="J125" i="96"/>
  <c r="K125" i="96"/>
  <c r="L125" i="96"/>
  <c r="M125" i="96"/>
  <c r="N125" i="96"/>
  <c r="O125" i="96"/>
  <c r="P125" i="96"/>
  <c r="J126" i="96"/>
  <c r="K126" i="96"/>
  <c r="L126" i="96"/>
  <c r="M126" i="96"/>
  <c r="N126" i="96"/>
  <c r="O126" i="96"/>
  <c r="P126" i="96"/>
  <c r="J127" i="96"/>
  <c r="K127" i="96"/>
  <c r="L127" i="96"/>
  <c r="M127" i="96"/>
  <c r="N127" i="96"/>
  <c r="O127" i="96"/>
  <c r="P127" i="96"/>
  <c r="J128" i="96"/>
  <c r="K128" i="96"/>
  <c r="L128" i="96"/>
  <c r="M128" i="96"/>
  <c r="N128" i="96"/>
  <c r="O128" i="96"/>
  <c r="P128" i="96"/>
  <c r="J129" i="96"/>
  <c r="K129" i="96"/>
  <c r="L129" i="96"/>
  <c r="M129" i="96"/>
  <c r="N129" i="96"/>
  <c r="O129" i="96"/>
  <c r="P129" i="96"/>
  <c r="K5" i="96"/>
  <c r="L5" i="96"/>
  <c r="M5" i="96"/>
  <c r="N5" i="96"/>
  <c r="O5" i="96"/>
  <c r="P5" i="96"/>
  <c r="J5" i="96"/>
  <c r="K4" i="96"/>
  <c r="L4" i="96"/>
  <c r="M4" i="96"/>
  <c r="N4" i="96"/>
  <c r="O4" i="96"/>
  <c r="P4" i="96"/>
  <c r="J4" i="96"/>
  <c r="I5" i="96"/>
  <c r="I6" i="96"/>
  <c r="I7" i="96"/>
  <c r="I8" i="96"/>
  <c r="I9" i="96"/>
  <c r="I10" i="96"/>
  <c r="I11" i="96"/>
  <c r="I12" i="96"/>
  <c r="I13" i="96"/>
  <c r="I14" i="96"/>
  <c r="I15" i="96"/>
  <c r="I16" i="96"/>
  <c r="I17" i="96"/>
  <c r="I18" i="96"/>
  <c r="I19" i="96"/>
  <c r="I20" i="96"/>
  <c r="I21" i="96"/>
  <c r="I22" i="96"/>
  <c r="I23" i="96"/>
  <c r="I24" i="96"/>
  <c r="I25" i="96"/>
  <c r="I26" i="96"/>
  <c r="I27" i="96"/>
  <c r="I28" i="96"/>
  <c r="I29" i="96"/>
  <c r="I30" i="96"/>
  <c r="I31" i="96"/>
  <c r="I32" i="96"/>
  <c r="I33" i="96"/>
  <c r="I34" i="96"/>
  <c r="I35" i="96"/>
  <c r="I36" i="96"/>
  <c r="I37" i="96"/>
  <c r="I38" i="96"/>
  <c r="I39" i="96"/>
  <c r="I49" i="96"/>
  <c r="I50" i="96"/>
  <c r="I51" i="96"/>
  <c r="I52" i="96"/>
  <c r="I53" i="96"/>
  <c r="I54" i="96"/>
  <c r="I55" i="96"/>
  <c r="I56" i="96"/>
  <c r="I57" i="96"/>
  <c r="I58" i="96"/>
  <c r="I59" i="96"/>
  <c r="I60" i="96"/>
  <c r="I61" i="96"/>
  <c r="I62" i="96"/>
  <c r="I63" i="96"/>
  <c r="I64" i="96"/>
  <c r="I65" i="96"/>
  <c r="I66" i="96"/>
  <c r="I67" i="96"/>
  <c r="I68" i="96"/>
  <c r="I69" i="96"/>
  <c r="I70" i="96"/>
  <c r="I71" i="96"/>
  <c r="I72" i="96"/>
  <c r="I73" i="96"/>
  <c r="I74" i="96"/>
  <c r="I75" i="96"/>
  <c r="I76" i="96"/>
  <c r="I77" i="96"/>
  <c r="I78" i="96"/>
  <c r="I79" i="96"/>
  <c r="I80" i="96"/>
  <c r="I81" i="96"/>
  <c r="I82" i="96"/>
  <c r="I83" i="96"/>
  <c r="I84" i="96"/>
  <c r="I94" i="96"/>
  <c r="I95" i="96"/>
  <c r="I96" i="96"/>
  <c r="I97" i="96"/>
  <c r="I98" i="96"/>
  <c r="I99" i="96"/>
  <c r="I100" i="96"/>
  <c r="I101" i="96"/>
  <c r="I102" i="96"/>
  <c r="I103" i="96"/>
  <c r="I104" i="96"/>
  <c r="I105" i="96"/>
  <c r="I106" i="96"/>
  <c r="I107" i="96"/>
  <c r="I108" i="96"/>
  <c r="I109" i="96"/>
  <c r="I110" i="96"/>
  <c r="I111" i="96"/>
  <c r="I112" i="96"/>
  <c r="I113" i="96"/>
  <c r="I114" i="96"/>
  <c r="I115" i="96"/>
  <c r="I116" i="96"/>
  <c r="I117" i="96"/>
  <c r="I118" i="96"/>
  <c r="I119" i="96"/>
  <c r="I120" i="96"/>
  <c r="I121" i="96"/>
  <c r="I122" i="96"/>
  <c r="I123" i="96"/>
  <c r="I124" i="96"/>
  <c r="I125" i="96"/>
  <c r="I126" i="96"/>
  <c r="I127" i="96"/>
  <c r="I128" i="96"/>
  <c r="I129" i="96"/>
  <c r="I4" i="96"/>
  <c r="J103" i="93"/>
  <c r="R102" i="27"/>
  <c r="S102" i="27"/>
  <c r="T102" i="27"/>
  <c r="U102" i="27"/>
  <c r="V102" i="27"/>
  <c r="W102" i="27"/>
  <c r="X102" i="27"/>
  <c r="Y102" i="27"/>
  <c r="Z102" i="27"/>
  <c r="AA102" i="27"/>
  <c r="R101" i="27"/>
  <c r="S101" i="27"/>
  <c r="T101" i="27"/>
  <c r="U101" i="27"/>
  <c r="V101" i="27"/>
  <c r="W101" i="27"/>
  <c r="X101" i="27"/>
  <c r="Y101" i="27"/>
  <c r="Z101" i="27"/>
  <c r="AA101" i="27"/>
  <c r="Q102" i="27"/>
  <c r="Q101" i="27"/>
  <c r="AA100" i="27"/>
  <c r="AA99" i="27"/>
  <c r="AA98" i="27"/>
  <c r="AA96" i="27"/>
  <c r="AA95" i="27"/>
  <c r="AA94" i="27"/>
  <c r="AA93" i="27"/>
  <c r="AA92" i="27"/>
  <c r="AA91" i="27"/>
  <c r="AA87" i="27"/>
  <c r="AA82" i="27"/>
  <c r="AA74" i="27"/>
  <c r="AA72" i="27"/>
  <c r="AA71" i="27"/>
  <c r="AA67" i="27"/>
  <c r="AA62" i="27"/>
  <c r="AA60" i="27"/>
  <c r="AA59" i="27"/>
  <c r="AA58" i="27"/>
  <c r="AA57" i="27"/>
  <c r="AA56" i="27"/>
  <c r="Z100" i="27"/>
  <c r="Z99" i="27"/>
  <c r="Z98" i="27"/>
  <c r="Z96" i="27"/>
  <c r="Z92" i="27"/>
  <c r="Z90" i="27"/>
  <c r="Z89" i="27"/>
  <c r="Z87" i="27"/>
  <c r="Z86" i="27"/>
  <c r="Z75" i="27"/>
  <c r="Z74" i="27"/>
  <c r="Z73" i="27"/>
  <c r="Z71" i="27"/>
  <c r="Z62" i="27"/>
  <c r="Z60" i="27"/>
  <c r="Z59" i="27"/>
  <c r="Z58" i="27"/>
  <c r="Z57" i="27"/>
  <c r="Z56" i="27"/>
  <c r="Y100" i="27"/>
  <c r="Y99" i="27"/>
  <c r="Y98" i="27"/>
  <c r="Y96" i="27"/>
  <c r="Y95" i="27"/>
  <c r="Y94" i="27"/>
  <c r="Y93" i="27"/>
  <c r="Y92" i="27"/>
  <c r="Y91" i="27"/>
  <c r="Y87" i="27"/>
  <c r="Y82" i="27"/>
  <c r="Y75" i="27"/>
  <c r="Y74" i="27"/>
  <c r="Y73" i="27"/>
  <c r="Y72" i="27"/>
  <c r="Y71" i="27"/>
  <c r="Y67" i="27"/>
  <c r="Y62" i="27"/>
  <c r="Y60" i="27"/>
  <c r="Y59" i="27"/>
  <c r="Y58" i="27"/>
  <c r="Y57" i="27"/>
  <c r="Y56" i="27"/>
  <c r="X100" i="27"/>
  <c r="X98" i="27"/>
  <c r="X97" i="27"/>
  <c r="X96" i="27"/>
  <c r="X93" i="27"/>
  <c r="X92" i="27"/>
  <c r="X91" i="27"/>
  <c r="X84" i="27"/>
  <c r="X82" i="27"/>
  <c r="X78" i="27"/>
  <c r="X69" i="27"/>
  <c r="X68" i="27"/>
  <c r="X66" i="27"/>
  <c r="X57" i="27"/>
  <c r="W90" i="27"/>
  <c r="W89" i="27"/>
  <c r="W88" i="27"/>
  <c r="W87" i="27"/>
  <c r="W86" i="27"/>
  <c r="W80" i="27"/>
  <c r="W78" i="27"/>
  <c r="W77" i="27"/>
  <c r="W76" i="27"/>
  <c r="W75" i="27"/>
  <c r="W74" i="27"/>
  <c r="W73" i="27"/>
  <c r="W72" i="27"/>
  <c r="W71" i="27"/>
  <c r="W70" i="27"/>
  <c r="W67" i="27"/>
  <c r="W65" i="27"/>
  <c r="W64" i="27"/>
  <c r="W63" i="27"/>
  <c r="W62" i="27"/>
  <c r="W61" i="27"/>
  <c r="V97" i="27"/>
  <c r="V92" i="27"/>
  <c r="V87" i="27"/>
  <c r="V80" i="27"/>
  <c r="V79" i="27"/>
  <c r="V78" i="27"/>
  <c r="V77" i="27"/>
  <c r="V76" i="27"/>
  <c r="V72" i="27"/>
  <c r="V70" i="27"/>
  <c r="V69" i="27"/>
  <c r="V68" i="27"/>
  <c r="V67" i="27"/>
  <c r="V66" i="27"/>
  <c r="V62" i="27"/>
  <c r="V57" i="27"/>
  <c r="U99" i="27"/>
  <c r="U95" i="27"/>
  <c r="U94" i="27"/>
  <c r="U93" i="27"/>
  <c r="U92" i="27"/>
  <c r="U91" i="27"/>
  <c r="U85" i="27"/>
  <c r="U84" i="27"/>
  <c r="U83" i="27"/>
  <c r="U82" i="27"/>
  <c r="U81" i="27"/>
  <c r="U80" i="27"/>
  <c r="U79" i="27"/>
  <c r="U78" i="27"/>
  <c r="U76" i="27"/>
  <c r="U70" i="27"/>
  <c r="U69" i="27"/>
  <c r="U68" i="27"/>
  <c r="U66" i="27"/>
  <c r="U59" i="27"/>
  <c r="T90" i="27"/>
  <c r="T89" i="27"/>
  <c r="T88" i="27"/>
  <c r="T86" i="27"/>
  <c r="T85" i="27"/>
  <c r="T84" i="27"/>
  <c r="T83" i="27"/>
  <c r="T81" i="27"/>
  <c r="T80" i="27"/>
  <c r="T79" i="27"/>
  <c r="T76" i="27"/>
  <c r="T75" i="27"/>
  <c r="T74" i="27"/>
  <c r="T71" i="27"/>
  <c r="T73" i="27"/>
  <c r="T70" i="27"/>
  <c r="T69" i="27"/>
  <c r="T68" i="27"/>
  <c r="T65" i="27"/>
  <c r="T64" i="27"/>
  <c r="T63" i="27"/>
  <c r="T61" i="27"/>
  <c r="S94" i="27"/>
  <c r="S93" i="27"/>
  <c r="S85" i="27"/>
  <c r="S84" i="27"/>
  <c r="S83" i="27"/>
  <c r="S81" i="27"/>
  <c r="S80" i="27"/>
  <c r="S79" i="27"/>
  <c r="S78" i="27"/>
  <c r="S76" i="27"/>
  <c r="S70" i="27"/>
  <c r="S69" i="27"/>
  <c r="S68" i="27"/>
  <c r="S66" i="27"/>
  <c r="R98" i="27"/>
  <c r="R97" i="27"/>
  <c r="R96" i="27"/>
  <c r="R95" i="27"/>
  <c r="R94" i="27"/>
  <c r="R93" i="27"/>
  <c r="R92" i="27"/>
  <c r="R91" i="27"/>
  <c r="R84" i="27"/>
  <c r="R83" i="27"/>
  <c r="R82" i="27"/>
  <c r="R81" i="27"/>
  <c r="R67" i="27"/>
  <c r="R59" i="27"/>
  <c r="R58" i="27"/>
  <c r="R57" i="27"/>
  <c r="R56" i="27"/>
  <c r="R99" i="27"/>
  <c r="Q90" i="27"/>
  <c r="Q89" i="27"/>
  <c r="Q88" i="27"/>
  <c r="Q87" i="27"/>
  <c r="Q86" i="27"/>
  <c r="Q80" i="27"/>
  <c r="Q79" i="27"/>
  <c r="Q78" i="27"/>
  <c r="Q77" i="27"/>
  <c r="Q76" i="27"/>
  <c r="Q75" i="27"/>
  <c r="Q74" i="27"/>
  <c r="Q73" i="27"/>
  <c r="Q72" i="27"/>
  <c r="Q71" i="27"/>
  <c r="Q70" i="27"/>
  <c r="Q65" i="27"/>
  <c r="Q64" i="27"/>
  <c r="Q63" i="27"/>
  <c r="Q62" i="27"/>
  <c r="Q61" i="27"/>
  <c r="B33" i="110"/>
  <c r="W50" i="108"/>
  <c r="AK39" i="25"/>
  <c r="AK38" i="25"/>
  <c r="AK36" i="25"/>
  <c r="AK35" i="25"/>
  <c r="AK34" i="25"/>
  <c r="AK33" i="25"/>
  <c r="AK32" i="25"/>
  <c r="AK30" i="25"/>
  <c r="AK29" i="25"/>
  <c r="AK26" i="25"/>
  <c r="AK24" i="25"/>
  <c r="AK23" i="25"/>
  <c r="AK19" i="25"/>
  <c r="AK12" i="25"/>
  <c r="AK11" i="25"/>
  <c r="AK7" i="25"/>
  <c r="AK6" i="25"/>
  <c r="AJ40" i="25"/>
  <c r="AJ37" i="25"/>
  <c r="AJ28" i="25"/>
  <c r="AJ27" i="25"/>
  <c r="AJ25" i="25"/>
  <c r="AJ22" i="25"/>
  <c r="AJ21" i="25"/>
  <c r="AJ18" i="25"/>
  <c r="AJ17" i="25"/>
  <c r="AJ16" i="25"/>
  <c r="AJ15" i="25"/>
  <c r="AJ14" i="25"/>
  <c r="AJ13" i="25"/>
  <c r="AJ10" i="25"/>
  <c r="AJ9" i="25"/>
  <c r="AJ8" i="25"/>
  <c r="AJ5" i="25"/>
  <c r="AI39" i="25"/>
  <c r="AI38" i="25"/>
  <c r="AI37" i="25"/>
  <c r="AI36" i="25"/>
  <c r="AI35" i="25"/>
  <c r="AI33" i="25"/>
  <c r="AI32" i="25"/>
  <c r="AI29" i="25"/>
  <c r="AI28" i="25"/>
  <c r="AI26" i="25"/>
  <c r="AI24" i="25"/>
  <c r="AI11" i="25"/>
  <c r="AI40" i="25"/>
  <c r="AH39" i="25"/>
  <c r="AH38" i="25"/>
  <c r="AH35" i="25"/>
  <c r="AH34" i="25"/>
  <c r="AH33" i="25"/>
  <c r="AH32" i="25"/>
  <c r="AH29" i="25"/>
  <c r="AH26" i="25"/>
  <c r="AH24" i="25"/>
  <c r="AH17" i="25"/>
  <c r="AH8" i="25"/>
  <c r="AH7" i="25"/>
  <c r="AH6" i="25"/>
  <c r="AG6" i="25"/>
  <c r="AG7" i="25"/>
  <c r="AG8" i="25"/>
  <c r="AG17" i="25"/>
  <c r="AG24" i="25"/>
  <c r="AF38" i="25"/>
  <c r="AF37" i="25"/>
  <c r="AF36" i="25"/>
  <c r="AF35" i="25"/>
  <c r="AF34" i="25"/>
  <c r="AF33" i="25"/>
  <c r="AF29" i="25"/>
  <c r="AF27" i="25"/>
  <c r="AF25" i="25"/>
  <c r="AF20" i="25"/>
  <c r="AF19" i="25"/>
  <c r="AF18" i="25"/>
  <c r="AF11" i="25"/>
  <c r="AF9" i="25"/>
  <c r="AF7" i="25"/>
  <c r="AF6" i="25"/>
  <c r="AE40" i="25"/>
  <c r="AE37" i="25"/>
  <c r="AE31" i="25"/>
  <c r="AE30" i="25"/>
  <c r="AE28" i="25"/>
  <c r="AE23" i="25"/>
  <c r="AE22" i="25"/>
  <c r="AE21" i="25"/>
  <c r="AE20" i="25"/>
  <c r="AE19" i="25"/>
  <c r="AE18" i="25"/>
  <c r="AE16" i="25"/>
  <c r="AE14" i="25"/>
  <c r="AE13" i="25"/>
  <c r="AE12" i="25"/>
  <c r="AE10" i="25"/>
  <c r="AD8" i="25"/>
  <c r="AD10" i="25"/>
  <c r="AD11" i="25"/>
  <c r="AD15" i="25"/>
  <c r="AD17" i="25"/>
  <c r="AD20" i="25"/>
  <c r="AD24" i="25"/>
  <c r="AD30" i="25"/>
  <c r="AD33" i="25"/>
  <c r="AC40" i="25"/>
  <c r="AC39" i="25"/>
  <c r="AC38" i="25"/>
  <c r="AC37" i="25"/>
  <c r="AC36" i="25"/>
  <c r="AC35" i="25"/>
  <c r="AC34" i="25"/>
  <c r="AC33" i="25"/>
  <c r="AC32" i="25"/>
  <c r="AC30" i="25"/>
  <c r="AC29" i="25"/>
  <c r="AC26" i="25"/>
  <c r="AC25" i="25"/>
  <c r="AC24" i="25"/>
  <c r="AC9" i="25"/>
  <c r="AC8" i="25"/>
  <c r="AB39" i="25"/>
  <c r="AB37" i="25"/>
  <c r="AB31" i="25"/>
  <c r="AB30" i="25"/>
  <c r="AB28" i="25"/>
  <c r="AB25" i="25"/>
  <c r="AB23" i="25"/>
  <c r="AB22" i="25"/>
  <c r="AB21" i="25"/>
  <c r="AB19" i="25"/>
  <c r="AB16" i="25"/>
  <c r="AB14" i="25"/>
  <c r="AB13" i="25"/>
  <c r="AB12" i="25"/>
  <c r="AB10" i="25"/>
  <c r="AB7" i="25"/>
  <c r="AB5" i="25"/>
  <c r="AA38" i="25"/>
  <c r="AA36" i="25"/>
  <c r="AA35" i="25"/>
  <c r="AA33" i="25"/>
  <c r="AA29" i="25"/>
  <c r="AA26" i="25"/>
  <c r="AA24" i="25"/>
  <c r="AA20" i="25"/>
  <c r="AA18" i="25"/>
  <c r="AA17" i="25"/>
  <c r="AA15" i="25"/>
  <c r="AA11" i="25"/>
  <c r="AA9" i="25"/>
  <c r="AA8" i="25"/>
  <c r="AA6" i="25"/>
  <c r="AO84" i="75"/>
  <c r="AO81" i="75"/>
  <c r="AI81" i="75"/>
  <c r="N84" i="75"/>
  <c r="H84" i="75"/>
  <c r="B84" i="75"/>
  <c r="AC81" i="75"/>
  <c r="P84" i="75"/>
  <c r="Q84" i="75"/>
  <c r="R84" i="75"/>
  <c r="S84" i="75"/>
  <c r="O84" i="75"/>
  <c r="J84" i="75"/>
  <c r="K84" i="75"/>
  <c r="L84" i="75"/>
  <c r="M84" i="75"/>
  <c r="I84" i="75"/>
  <c r="E84" i="75"/>
  <c r="F84" i="75"/>
  <c r="G84" i="75"/>
  <c r="D84" i="75"/>
  <c r="C84" i="75"/>
  <c r="AT81" i="75"/>
  <c r="AS81" i="75"/>
  <c r="AR81" i="75"/>
  <c r="AQ81" i="75"/>
  <c r="AP81" i="75"/>
  <c r="AN81" i="75"/>
  <c r="AM81" i="75"/>
  <c r="AL81" i="75"/>
  <c r="AK81" i="75"/>
  <c r="AJ81" i="75"/>
  <c r="AG81" i="75"/>
  <c r="AF81" i="75"/>
  <c r="AE81" i="75"/>
  <c r="AH81" i="75"/>
  <c r="AD81" i="75"/>
  <c r="AT6" i="75"/>
  <c r="AT7" i="75"/>
  <c r="AT8" i="75"/>
  <c r="AT9" i="75"/>
  <c r="AT10" i="75"/>
  <c r="AT11" i="75"/>
  <c r="AT12" i="75"/>
  <c r="AT13" i="75"/>
  <c r="AT14" i="75"/>
  <c r="AT15" i="75"/>
  <c r="AT16" i="75"/>
  <c r="AT17" i="75"/>
  <c r="AT18" i="75"/>
  <c r="AT19" i="75"/>
  <c r="AT20" i="75"/>
  <c r="AT21" i="75"/>
  <c r="AT22" i="75"/>
  <c r="AT23" i="75"/>
  <c r="AT24" i="75"/>
  <c r="AT25" i="75"/>
  <c r="AT26" i="75"/>
  <c r="AT27" i="75"/>
  <c r="AT28" i="75"/>
  <c r="AT29" i="75"/>
  <c r="AT30" i="75"/>
  <c r="AT31" i="75"/>
  <c r="AT32" i="75"/>
  <c r="AT33" i="75"/>
  <c r="AT34" i="75"/>
  <c r="AT35" i="75"/>
  <c r="AT36" i="75"/>
  <c r="AT37" i="75"/>
  <c r="AT38" i="75"/>
  <c r="AT39" i="75"/>
  <c r="AT40" i="75"/>
  <c r="AT41" i="75"/>
  <c r="AT42" i="75"/>
  <c r="AT43" i="75"/>
  <c r="AT44" i="75"/>
  <c r="AT45" i="75"/>
  <c r="AT46" i="75"/>
  <c r="AT47" i="75"/>
  <c r="AT48" i="75"/>
  <c r="AT49" i="75"/>
  <c r="AT50" i="75"/>
  <c r="AT51" i="75"/>
  <c r="AT52" i="75"/>
  <c r="AT53" i="75"/>
  <c r="AT54" i="75"/>
  <c r="AT55" i="75"/>
  <c r="AT56" i="75"/>
  <c r="AT57" i="75"/>
  <c r="AT58" i="75"/>
  <c r="AT59" i="75"/>
  <c r="AT60" i="75"/>
  <c r="AT61" i="75"/>
  <c r="AT62" i="75"/>
  <c r="AT63" i="75"/>
  <c r="AT64" i="75"/>
  <c r="AT65" i="75"/>
  <c r="AT66" i="75"/>
  <c r="AT67" i="75"/>
  <c r="AT68" i="75"/>
  <c r="AT69" i="75"/>
  <c r="AT70" i="75"/>
  <c r="AT71" i="75"/>
  <c r="AT72" i="75"/>
  <c r="AT73" i="75"/>
  <c r="AT74" i="75"/>
  <c r="AT75" i="75"/>
  <c r="AT76" i="75"/>
  <c r="AT77" i="75"/>
  <c r="AT78" i="75"/>
  <c r="AT79" i="75"/>
  <c r="AT80" i="75"/>
  <c r="AS6" i="75"/>
  <c r="AS7" i="75"/>
  <c r="AS8" i="75"/>
  <c r="AS9" i="75"/>
  <c r="AS10" i="75"/>
  <c r="AS11" i="75"/>
  <c r="AS12" i="75"/>
  <c r="AS13" i="75"/>
  <c r="AS14" i="75"/>
  <c r="AS15" i="75"/>
  <c r="AS16" i="75"/>
  <c r="AS17" i="75"/>
  <c r="AS18" i="75"/>
  <c r="AS19" i="75"/>
  <c r="AS20" i="75"/>
  <c r="AS21" i="75"/>
  <c r="AS22" i="75"/>
  <c r="AS23" i="75"/>
  <c r="AS24" i="75"/>
  <c r="AS25" i="75"/>
  <c r="AS26" i="75"/>
  <c r="AS27" i="75"/>
  <c r="AS28" i="75"/>
  <c r="AS29" i="75"/>
  <c r="AS30" i="75"/>
  <c r="AS31" i="75"/>
  <c r="AS32" i="75"/>
  <c r="AS33" i="75"/>
  <c r="AS34" i="75"/>
  <c r="AS35" i="75"/>
  <c r="AS36" i="75"/>
  <c r="AS37" i="75"/>
  <c r="AS38" i="75"/>
  <c r="AS39" i="75"/>
  <c r="AS40" i="75"/>
  <c r="AS41" i="75"/>
  <c r="AS42" i="75"/>
  <c r="AS43" i="75"/>
  <c r="AS44" i="75"/>
  <c r="AS45" i="75"/>
  <c r="AS46" i="75"/>
  <c r="AS47" i="75"/>
  <c r="AS48" i="75"/>
  <c r="AS49" i="75"/>
  <c r="AS50" i="75"/>
  <c r="AS51" i="75"/>
  <c r="AS52" i="75"/>
  <c r="AS53" i="75"/>
  <c r="AS54" i="75"/>
  <c r="AS55" i="75"/>
  <c r="AS56" i="75"/>
  <c r="AS57" i="75"/>
  <c r="AS58" i="75"/>
  <c r="AS59" i="75"/>
  <c r="AS60" i="75"/>
  <c r="AS61" i="75"/>
  <c r="AS62" i="75"/>
  <c r="AS63" i="75"/>
  <c r="AS64" i="75"/>
  <c r="AS65" i="75"/>
  <c r="AS66" i="75"/>
  <c r="AS67" i="75"/>
  <c r="AS68" i="75"/>
  <c r="AS69" i="75"/>
  <c r="AS70" i="75"/>
  <c r="AS71" i="75"/>
  <c r="AS72" i="75"/>
  <c r="AS73" i="75"/>
  <c r="AS74" i="75"/>
  <c r="AS75" i="75"/>
  <c r="AS76" i="75"/>
  <c r="AS77" i="75"/>
  <c r="AS78" i="75"/>
  <c r="AS79" i="75"/>
  <c r="AS80" i="75"/>
  <c r="AR6" i="75"/>
  <c r="AR7" i="75"/>
  <c r="AR8" i="75"/>
  <c r="AR9" i="75"/>
  <c r="AR10" i="75"/>
  <c r="AR11" i="75"/>
  <c r="AR12" i="75"/>
  <c r="AR13" i="75"/>
  <c r="AR14" i="75"/>
  <c r="AR15" i="75"/>
  <c r="AR16" i="75"/>
  <c r="AR17" i="75"/>
  <c r="AR18" i="75"/>
  <c r="AR19" i="75"/>
  <c r="AR20" i="75"/>
  <c r="AR21" i="75"/>
  <c r="AR22" i="75"/>
  <c r="AR23" i="75"/>
  <c r="AR24" i="75"/>
  <c r="AR25" i="75"/>
  <c r="AR26" i="75"/>
  <c r="AR27" i="75"/>
  <c r="AR28" i="75"/>
  <c r="AR29" i="75"/>
  <c r="AR30" i="75"/>
  <c r="AR31" i="75"/>
  <c r="AR32" i="75"/>
  <c r="AR33" i="75"/>
  <c r="AR34" i="75"/>
  <c r="AR35" i="75"/>
  <c r="AR36" i="75"/>
  <c r="AR37" i="75"/>
  <c r="AR38" i="75"/>
  <c r="AR39" i="75"/>
  <c r="AR40" i="75"/>
  <c r="AR41" i="75"/>
  <c r="AR42" i="75"/>
  <c r="AR43" i="75"/>
  <c r="AR44" i="75"/>
  <c r="AR45" i="75"/>
  <c r="AR46" i="75"/>
  <c r="AR47" i="75"/>
  <c r="AR48" i="75"/>
  <c r="AR49" i="75"/>
  <c r="AR50" i="75"/>
  <c r="AR51" i="75"/>
  <c r="AR52" i="75"/>
  <c r="AR53" i="75"/>
  <c r="AR54" i="75"/>
  <c r="AR55" i="75"/>
  <c r="AR56" i="75"/>
  <c r="AR57" i="75"/>
  <c r="AR58" i="75"/>
  <c r="AR59" i="75"/>
  <c r="AR60" i="75"/>
  <c r="AR61" i="75"/>
  <c r="AR62" i="75"/>
  <c r="AR63" i="75"/>
  <c r="AR64" i="75"/>
  <c r="AR65" i="75"/>
  <c r="AR66" i="75"/>
  <c r="AR67" i="75"/>
  <c r="AR68" i="75"/>
  <c r="AR69" i="75"/>
  <c r="AR70" i="75"/>
  <c r="AR71" i="75"/>
  <c r="AR72" i="75"/>
  <c r="AR73" i="75"/>
  <c r="AR74" i="75"/>
  <c r="AR75" i="75"/>
  <c r="AR76" i="75"/>
  <c r="AR77" i="75"/>
  <c r="AR78" i="75"/>
  <c r="AR79" i="75"/>
  <c r="AR80" i="75"/>
  <c r="AQ6" i="75"/>
  <c r="AQ7" i="75"/>
  <c r="AQ8" i="75"/>
  <c r="AQ9" i="75"/>
  <c r="AQ10" i="75"/>
  <c r="AQ11" i="75"/>
  <c r="AQ12" i="75"/>
  <c r="AQ13" i="75"/>
  <c r="AQ14" i="75"/>
  <c r="AQ15" i="75"/>
  <c r="AQ16" i="75"/>
  <c r="AQ17" i="75"/>
  <c r="AQ18" i="75"/>
  <c r="AQ19" i="75"/>
  <c r="AQ20" i="75"/>
  <c r="AQ21" i="75"/>
  <c r="AQ22" i="75"/>
  <c r="AQ23" i="75"/>
  <c r="AQ24" i="75"/>
  <c r="AQ25" i="75"/>
  <c r="AQ26" i="75"/>
  <c r="AQ27" i="75"/>
  <c r="AQ28" i="75"/>
  <c r="AQ29" i="75"/>
  <c r="AQ30" i="75"/>
  <c r="AQ31" i="75"/>
  <c r="AQ32" i="75"/>
  <c r="AQ33" i="75"/>
  <c r="AQ34" i="75"/>
  <c r="AQ35" i="75"/>
  <c r="AQ36" i="75"/>
  <c r="AQ37" i="75"/>
  <c r="AQ38" i="75"/>
  <c r="AQ39" i="75"/>
  <c r="AQ40" i="75"/>
  <c r="AQ41" i="75"/>
  <c r="AQ42" i="75"/>
  <c r="AQ43" i="75"/>
  <c r="AQ44" i="75"/>
  <c r="AQ45" i="75"/>
  <c r="AQ46" i="75"/>
  <c r="AQ47" i="75"/>
  <c r="AQ48" i="75"/>
  <c r="AQ49" i="75"/>
  <c r="AQ50" i="75"/>
  <c r="AQ51" i="75"/>
  <c r="AQ52" i="75"/>
  <c r="AQ53" i="75"/>
  <c r="AQ54" i="75"/>
  <c r="AQ55" i="75"/>
  <c r="AQ56" i="75"/>
  <c r="AQ57" i="75"/>
  <c r="AQ58" i="75"/>
  <c r="AQ59" i="75"/>
  <c r="AQ60" i="75"/>
  <c r="AQ61" i="75"/>
  <c r="AQ62" i="75"/>
  <c r="AQ63" i="75"/>
  <c r="AQ64" i="75"/>
  <c r="AQ65" i="75"/>
  <c r="AQ66" i="75"/>
  <c r="AQ67" i="75"/>
  <c r="AQ68" i="75"/>
  <c r="AQ69" i="75"/>
  <c r="AQ70" i="75"/>
  <c r="AQ71" i="75"/>
  <c r="AQ72" i="75"/>
  <c r="AQ73" i="75"/>
  <c r="AQ74" i="75"/>
  <c r="AQ75" i="75"/>
  <c r="AQ76" i="75"/>
  <c r="AQ77" i="75"/>
  <c r="AQ78" i="75"/>
  <c r="AQ79" i="75"/>
  <c r="AQ80" i="75"/>
  <c r="AP6" i="75"/>
  <c r="AP7" i="75"/>
  <c r="AP8" i="75"/>
  <c r="AP9" i="75"/>
  <c r="AP10" i="75"/>
  <c r="AP11" i="75"/>
  <c r="AP12" i="75"/>
  <c r="AP13" i="75"/>
  <c r="AP14" i="75"/>
  <c r="AP15" i="75"/>
  <c r="AP16" i="75"/>
  <c r="AP17" i="75"/>
  <c r="AP18" i="75"/>
  <c r="AP19" i="75"/>
  <c r="AP20" i="75"/>
  <c r="AP21" i="75"/>
  <c r="AP22" i="75"/>
  <c r="AP23" i="75"/>
  <c r="AP24" i="75"/>
  <c r="AP25" i="75"/>
  <c r="AP26" i="75"/>
  <c r="AP27" i="75"/>
  <c r="AP28" i="75"/>
  <c r="AP29" i="75"/>
  <c r="AP30" i="75"/>
  <c r="AP31" i="75"/>
  <c r="AP32" i="75"/>
  <c r="AP33" i="75"/>
  <c r="AP34" i="75"/>
  <c r="AP35" i="75"/>
  <c r="AP36" i="75"/>
  <c r="AP37" i="75"/>
  <c r="AP38" i="75"/>
  <c r="AP39" i="75"/>
  <c r="AP40" i="75"/>
  <c r="AP41" i="75"/>
  <c r="AP42" i="75"/>
  <c r="AP43" i="75"/>
  <c r="AP44" i="75"/>
  <c r="AP45" i="75"/>
  <c r="AP46" i="75"/>
  <c r="AP47" i="75"/>
  <c r="AP48" i="75"/>
  <c r="AP49" i="75"/>
  <c r="AP50" i="75"/>
  <c r="AP51" i="75"/>
  <c r="AP52" i="75"/>
  <c r="AP53" i="75"/>
  <c r="AP54" i="75"/>
  <c r="AP55" i="75"/>
  <c r="AP56" i="75"/>
  <c r="AP57" i="75"/>
  <c r="AP58" i="75"/>
  <c r="AP59" i="75"/>
  <c r="AP60" i="75"/>
  <c r="AP61" i="75"/>
  <c r="AP62" i="75"/>
  <c r="AP63" i="75"/>
  <c r="AP64" i="75"/>
  <c r="AP65" i="75"/>
  <c r="AP66" i="75"/>
  <c r="AP67" i="75"/>
  <c r="AP68" i="75"/>
  <c r="AP69" i="75"/>
  <c r="AP70" i="75"/>
  <c r="AP71" i="75"/>
  <c r="AP72" i="75"/>
  <c r="AP73" i="75"/>
  <c r="AP74" i="75"/>
  <c r="AP75" i="75"/>
  <c r="AP76" i="75"/>
  <c r="AP77" i="75"/>
  <c r="AP78" i="75"/>
  <c r="AP79" i="75"/>
  <c r="AP80" i="75"/>
  <c r="AN6" i="75"/>
  <c r="AN7" i="75"/>
  <c r="AN8" i="75"/>
  <c r="AN9" i="75"/>
  <c r="AN10" i="75"/>
  <c r="AN11" i="75"/>
  <c r="AN12" i="75"/>
  <c r="AN13" i="75"/>
  <c r="AN14" i="75"/>
  <c r="AN15" i="75"/>
  <c r="AN16" i="75"/>
  <c r="AN17" i="75"/>
  <c r="AN18" i="75"/>
  <c r="AN19" i="75"/>
  <c r="AN20" i="75"/>
  <c r="AN21" i="75"/>
  <c r="AN22" i="75"/>
  <c r="AN23" i="75"/>
  <c r="AN24" i="75"/>
  <c r="AN25" i="75"/>
  <c r="AN26" i="75"/>
  <c r="AN27" i="75"/>
  <c r="AN28" i="75"/>
  <c r="AN29" i="75"/>
  <c r="AN30" i="75"/>
  <c r="AN31" i="75"/>
  <c r="AN32" i="75"/>
  <c r="AN33" i="75"/>
  <c r="AN34" i="75"/>
  <c r="AN35" i="75"/>
  <c r="AN36" i="75"/>
  <c r="AN37" i="75"/>
  <c r="AN38" i="75"/>
  <c r="AN39" i="75"/>
  <c r="AN40" i="75"/>
  <c r="AN41" i="75"/>
  <c r="AN42" i="75"/>
  <c r="AN43" i="75"/>
  <c r="AN44" i="75"/>
  <c r="AN45" i="75"/>
  <c r="AN46" i="75"/>
  <c r="AN47" i="75"/>
  <c r="AN48" i="75"/>
  <c r="AN49" i="75"/>
  <c r="AN50" i="75"/>
  <c r="AN51" i="75"/>
  <c r="AN52" i="75"/>
  <c r="AN53" i="75"/>
  <c r="AN54" i="75"/>
  <c r="AN55" i="75"/>
  <c r="AN56" i="75"/>
  <c r="AN57" i="75"/>
  <c r="AN58" i="75"/>
  <c r="AN59" i="75"/>
  <c r="AN60" i="75"/>
  <c r="AN61" i="75"/>
  <c r="AN62" i="75"/>
  <c r="AN63" i="75"/>
  <c r="AN64" i="75"/>
  <c r="AN65" i="75"/>
  <c r="AN66" i="75"/>
  <c r="AN67" i="75"/>
  <c r="AN68" i="75"/>
  <c r="AN69" i="75"/>
  <c r="AN70" i="75"/>
  <c r="AN71" i="75"/>
  <c r="AN72" i="75"/>
  <c r="AN73" i="75"/>
  <c r="AN74" i="75"/>
  <c r="AN75" i="75"/>
  <c r="AN76" i="75"/>
  <c r="AN77" i="75"/>
  <c r="AN78" i="75"/>
  <c r="AN79" i="75"/>
  <c r="AN80" i="75"/>
  <c r="AM6" i="75"/>
  <c r="AM7" i="75"/>
  <c r="AM8" i="75"/>
  <c r="AM9" i="75"/>
  <c r="AM10" i="75"/>
  <c r="AM11" i="75"/>
  <c r="AM12" i="75"/>
  <c r="AM13" i="75"/>
  <c r="AM14" i="75"/>
  <c r="AM15" i="75"/>
  <c r="AM16" i="75"/>
  <c r="AM17" i="75"/>
  <c r="AM18" i="75"/>
  <c r="AM19" i="75"/>
  <c r="AM20" i="75"/>
  <c r="AM21" i="75"/>
  <c r="AM22" i="75"/>
  <c r="AM23" i="75"/>
  <c r="AM24" i="75"/>
  <c r="AM25" i="75"/>
  <c r="AM26" i="75"/>
  <c r="AM27" i="75"/>
  <c r="AM28" i="75"/>
  <c r="AM29" i="75"/>
  <c r="AM30" i="75"/>
  <c r="AM31" i="75"/>
  <c r="AM32" i="75"/>
  <c r="AM33" i="75"/>
  <c r="AM34" i="75"/>
  <c r="AM35" i="75"/>
  <c r="AM36" i="75"/>
  <c r="AM37" i="75"/>
  <c r="AM38" i="75"/>
  <c r="AM39" i="75"/>
  <c r="AM40" i="75"/>
  <c r="AM41" i="75"/>
  <c r="AM42" i="75"/>
  <c r="AM43" i="75"/>
  <c r="AM44" i="75"/>
  <c r="AM45" i="75"/>
  <c r="AM46" i="75"/>
  <c r="AM47" i="75"/>
  <c r="AM48" i="75"/>
  <c r="AM49" i="75"/>
  <c r="AM50" i="75"/>
  <c r="AM51" i="75"/>
  <c r="AM52" i="75"/>
  <c r="AM53" i="75"/>
  <c r="AM54" i="75"/>
  <c r="AM55" i="75"/>
  <c r="AM56" i="75"/>
  <c r="AM57" i="75"/>
  <c r="AM58" i="75"/>
  <c r="AM59" i="75"/>
  <c r="AM60" i="75"/>
  <c r="AM61" i="75"/>
  <c r="AM62" i="75"/>
  <c r="AM63" i="75"/>
  <c r="AM64" i="75"/>
  <c r="AM65" i="75"/>
  <c r="AM66" i="75"/>
  <c r="AM67" i="75"/>
  <c r="AM68" i="75"/>
  <c r="AM69" i="75"/>
  <c r="AM70" i="75"/>
  <c r="AM71" i="75"/>
  <c r="AM72" i="75"/>
  <c r="AM73" i="75"/>
  <c r="AM74" i="75"/>
  <c r="AM75" i="75"/>
  <c r="AM76" i="75"/>
  <c r="AM77" i="75"/>
  <c r="AM78" i="75"/>
  <c r="AM79" i="75"/>
  <c r="AM80" i="75"/>
  <c r="AL6" i="75"/>
  <c r="AL7" i="75"/>
  <c r="AL8" i="75"/>
  <c r="AL9" i="75"/>
  <c r="AL10" i="75"/>
  <c r="AL11" i="75"/>
  <c r="AL12" i="75"/>
  <c r="AL13" i="75"/>
  <c r="AL14" i="75"/>
  <c r="AL15" i="75"/>
  <c r="AL16" i="75"/>
  <c r="AL17" i="75"/>
  <c r="AL18" i="75"/>
  <c r="AL19" i="75"/>
  <c r="AL20" i="75"/>
  <c r="AL21" i="75"/>
  <c r="AL22" i="75"/>
  <c r="AL23" i="75"/>
  <c r="AL24" i="75"/>
  <c r="AL25" i="75"/>
  <c r="AL26" i="75"/>
  <c r="AL27" i="75"/>
  <c r="AL28" i="75"/>
  <c r="AL29" i="75"/>
  <c r="AL30" i="75"/>
  <c r="AL31" i="75"/>
  <c r="AL32" i="75"/>
  <c r="AL33" i="75"/>
  <c r="AL34" i="75"/>
  <c r="AL35" i="75"/>
  <c r="AL36" i="75"/>
  <c r="AL37" i="75"/>
  <c r="AL38" i="75"/>
  <c r="AL39" i="75"/>
  <c r="AL40" i="75"/>
  <c r="AL41" i="75"/>
  <c r="AL42" i="75"/>
  <c r="AL43" i="75"/>
  <c r="AL44" i="75"/>
  <c r="AL45" i="75"/>
  <c r="AL46" i="75"/>
  <c r="AL47" i="75"/>
  <c r="AL48" i="75"/>
  <c r="AL49" i="75"/>
  <c r="AL50" i="75"/>
  <c r="AL51" i="75"/>
  <c r="AL52" i="75"/>
  <c r="AL53" i="75"/>
  <c r="AL54" i="75"/>
  <c r="AL55" i="75"/>
  <c r="AL56" i="75"/>
  <c r="AL57" i="75"/>
  <c r="AL58" i="75"/>
  <c r="AL59" i="75"/>
  <c r="AL60" i="75"/>
  <c r="AL61" i="75"/>
  <c r="AL62" i="75"/>
  <c r="AL63" i="75"/>
  <c r="AL64" i="75"/>
  <c r="AL65" i="75"/>
  <c r="AL66" i="75"/>
  <c r="AL67" i="75"/>
  <c r="AL68" i="75"/>
  <c r="AL69" i="75"/>
  <c r="AL70" i="75"/>
  <c r="AL71" i="75"/>
  <c r="AL72" i="75"/>
  <c r="AL73" i="75"/>
  <c r="AL74" i="75"/>
  <c r="AL75" i="75"/>
  <c r="AL76" i="75"/>
  <c r="AL77" i="75"/>
  <c r="AL78" i="75"/>
  <c r="AL79" i="75"/>
  <c r="AL80" i="75"/>
  <c r="AK6" i="75"/>
  <c r="AK7" i="75"/>
  <c r="AK8" i="75"/>
  <c r="AK9" i="75"/>
  <c r="AK10" i="75"/>
  <c r="AK11" i="75"/>
  <c r="AK12" i="75"/>
  <c r="AK13" i="75"/>
  <c r="AK14" i="75"/>
  <c r="AK15" i="75"/>
  <c r="AK16" i="75"/>
  <c r="AK17" i="75"/>
  <c r="AK18" i="75"/>
  <c r="AK19" i="75"/>
  <c r="AK20" i="75"/>
  <c r="AK21" i="75"/>
  <c r="AK22" i="75"/>
  <c r="AK23" i="75"/>
  <c r="AK24" i="75"/>
  <c r="AK25" i="75"/>
  <c r="AK26" i="75"/>
  <c r="AK27" i="75"/>
  <c r="AK28" i="75"/>
  <c r="AK29" i="75"/>
  <c r="AK30" i="75"/>
  <c r="AK31" i="75"/>
  <c r="AK32" i="75"/>
  <c r="AK33" i="75"/>
  <c r="AK34" i="75"/>
  <c r="AK35" i="75"/>
  <c r="AK36" i="75"/>
  <c r="AK37" i="75"/>
  <c r="AK38" i="75"/>
  <c r="AK39" i="75"/>
  <c r="AK40" i="75"/>
  <c r="AK41" i="75"/>
  <c r="AK42" i="75"/>
  <c r="AK43" i="75"/>
  <c r="AK44" i="75"/>
  <c r="AK45" i="75"/>
  <c r="AK46" i="75"/>
  <c r="AK47" i="75"/>
  <c r="AK48" i="75"/>
  <c r="AK49" i="75"/>
  <c r="AK50" i="75"/>
  <c r="AK51" i="75"/>
  <c r="AK52" i="75"/>
  <c r="AK53" i="75"/>
  <c r="AK54" i="75"/>
  <c r="AK55" i="75"/>
  <c r="AK56" i="75"/>
  <c r="AK57" i="75"/>
  <c r="AK58" i="75"/>
  <c r="AK59" i="75"/>
  <c r="AK60" i="75"/>
  <c r="AK61" i="75"/>
  <c r="AK62" i="75"/>
  <c r="AK63" i="75"/>
  <c r="AK64" i="75"/>
  <c r="AK65" i="75"/>
  <c r="AK66" i="75"/>
  <c r="AK67" i="75"/>
  <c r="AK68" i="75"/>
  <c r="AK69" i="75"/>
  <c r="AK70" i="75"/>
  <c r="AK71" i="75"/>
  <c r="AK72" i="75"/>
  <c r="AK73" i="75"/>
  <c r="AK74" i="75"/>
  <c r="AK75" i="75"/>
  <c r="AK76" i="75"/>
  <c r="AK77" i="75"/>
  <c r="AK78" i="75"/>
  <c r="AK79" i="75"/>
  <c r="AK80" i="75"/>
  <c r="AJ6" i="75"/>
  <c r="AJ7" i="75"/>
  <c r="AJ8" i="75"/>
  <c r="AJ9" i="75"/>
  <c r="AJ10" i="75"/>
  <c r="AJ11" i="75"/>
  <c r="AJ12" i="75"/>
  <c r="AJ13" i="75"/>
  <c r="AJ14" i="75"/>
  <c r="AJ15" i="75"/>
  <c r="AJ16" i="75"/>
  <c r="AJ17" i="75"/>
  <c r="AJ18" i="75"/>
  <c r="AJ19" i="75"/>
  <c r="AJ20" i="75"/>
  <c r="AJ21" i="75"/>
  <c r="AJ22" i="75"/>
  <c r="AJ23" i="75"/>
  <c r="AJ24" i="75"/>
  <c r="AJ25" i="75"/>
  <c r="AJ26" i="75"/>
  <c r="AJ27" i="75"/>
  <c r="AJ28" i="75"/>
  <c r="AJ29" i="75"/>
  <c r="AJ30" i="75"/>
  <c r="AJ31" i="75"/>
  <c r="AJ32" i="75"/>
  <c r="AJ33" i="75"/>
  <c r="AJ34" i="75"/>
  <c r="AJ35" i="75"/>
  <c r="AJ36" i="75"/>
  <c r="AJ37" i="75"/>
  <c r="AJ38" i="75"/>
  <c r="AJ39" i="75"/>
  <c r="AJ40" i="75"/>
  <c r="AJ41" i="75"/>
  <c r="AJ42" i="75"/>
  <c r="AJ43" i="75"/>
  <c r="AJ44" i="75"/>
  <c r="AJ45" i="75"/>
  <c r="AJ46" i="75"/>
  <c r="AJ47" i="75"/>
  <c r="AJ48" i="75"/>
  <c r="AJ49" i="75"/>
  <c r="AJ50" i="75"/>
  <c r="AJ51" i="75"/>
  <c r="AJ52" i="75"/>
  <c r="AJ53" i="75"/>
  <c r="AJ54" i="75"/>
  <c r="AJ55" i="75"/>
  <c r="AJ56" i="75"/>
  <c r="AJ57" i="75"/>
  <c r="AJ58" i="75"/>
  <c r="AJ59" i="75"/>
  <c r="AJ60" i="75"/>
  <c r="AJ61" i="75"/>
  <c r="AJ62" i="75"/>
  <c r="AJ63" i="75"/>
  <c r="AJ64" i="75"/>
  <c r="AJ65" i="75"/>
  <c r="AJ66" i="75"/>
  <c r="AJ67" i="75"/>
  <c r="AJ68" i="75"/>
  <c r="AJ69" i="75"/>
  <c r="AJ70" i="75"/>
  <c r="AJ71" i="75"/>
  <c r="AJ72" i="75"/>
  <c r="AJ73" i="75"/>
  <c r="AJ74" i="75"/>
  <c r="AJ75" i="75"/>
  <c r="AJ76" i="75"/>
  <c r="AJ77" i="75"/>
  <c r="AJ78" i="75"/>
  <c r="AJ79" i="75"/>
  <c r="AJ80" i="75"/>
  <c r="AT5" i="75"/>
  <c r="AS5" i="75"/>
  <c r="AR5" i="75"/>
  <c r="AQ5" i="75"/>
  <c r="AP5" i="75"/>
  <c r="AN5" i="75"/>
  <c r="AM5" i="75"/>
  <c r="AL5" i="75"/>
  <c r="AK5" i="75"/>
  <c r="AJ5" i="75"/>
  <c r="AH6" i="75"/>
  <c r="AH7" i="75"/>
  <c r="AH8" i="75"/>
  <c r="AH9" i="75"/>
  <c r="AH10" i="75"/>
  <c r="AH11" i="75"/>
  <c r="AH12" i="75"/>
  <c r="AH13" i="75"/>
  <c r="AH14" i="75"/>
  <c r="AH15" i="75"/>
  <c r="AH16" i="75"/>
  <c r="AH17" i="75"/>
  <c r="AH18" i="75"/>
  <c r="AH19" i="75"/>
  <c r="AH20" i="75"/>
  <c r="AH21" i="75"/>
  <c r="AH22" i="75"/>
  <c r="AH23" i="75"/>
  <c r="AH24" i="75"/>
  <c r="AH25" i="75"/>
  <c r="AH26" i="75"/>
  <c r="AH27" i="75"/>
  <c r="AH28" i="75"/>
  <c r="AH29" i="75"/>
  <c r="AH30" i="75"/>
  <c r="AH31" i="75"/>
  <c r="AH32" i="75"/>
  <c r="AH33" i="75"/>
  <c r="AH34" i="75"/>
  <c r="AH35" i="75"/>
  <c r="AH36" i="75"/>
  <c r="AH37" i="75"/>
  <c r="AH38" i="75"/>
  <c r="AH39" i="75"/>
  <c r="AH40" i="75"/>
  <c r="AH41" i="75"/>
  <c r="AH42" i="75"/>
  <c r="AH43" i="75"/>
  <c r="AH44" i="75"/>
  <c r="AH45" i="75"/>
  <c r="AH46" i="75"/>
  <c r="AH47" i="75"/>
  <c r="AH48" i="75"/>
  <c r="AH49" i="75"/>
  <c r="AH50" i="75"/>
  <c r="AH51" i="75"/>
  <c r="AH52" i="75"/>
  <c r="AH53" i="75"/>
  <c r="AH54" i="75"/>
  <c r="AH55" i="75"/>
  <c r="AH56" i="75"/>
  <c r="AH57" i="75"/>
  <c r="AH58" i="75"/>
  <c r="AH59" i="75"/>
  <c r="AH60" i="75"/>
  <c r="AH61" i="75"/>
  <c r="AH62" i="75"/>
  <c r="AH63" i="75"/>
  <c r="AH64" i="75"/>
  <c r="AH65" i="75"/>
  <c r="AH66" i="75"/>
  <c r="AH67" i="75"/>
  <c r="AH68" i="75"/>
  <c r="AH69" i="75"/>
  <c r="AH70" i="75"/>
  <c r="AH71" i="75"/>
  <c r="AH72" i="75"/>
  <c r="AH73" i="75"/>
  <c r="AH74" i="75"/>
  <c r="AH75" i="75"/>
  <c r="AH76" i="75"/>
  <c r="AH77" i="75"/>
  <c r="AH78" i="75"/>
  <c r="AH79" i="75"/>
  <c r="AH80" i="75"/>
  <c r="AG6" i="75"/>
  <c r="AG7" i="75"/>
  <c r="AG8" i="75"/>
  <c r="AG9" i="75"/>
  <c r="AG10" i="75"/>
  <c r="AG11" i="75"/>
  <c r="AG12" i="75"/>
  <c r="AG13" i="75"/>
  <c r="AG14" i="75"/>
  <c r="AG15" i="75"/>
  <c r="AG16" i="75"/>
  <c r="AG17" i="75"/>
  <c r="AG18" i="75"/>
  <c r="AG19" i="75"/>
  <c r="AG20" i="75"/>
  <c r="AG21" i="75"/>
  <c r="AG22" i="75"/>
  <c r="AG23" i="75"/>
  <c r="AG24" i="75"/>
  <c r="AG25" i="75"/>
  <c r="AG26" i="75"/>
  <c r="AG27" i="75"/>
  <c r="AG28" i="75"/>
  <c r="AG29" i="75"/>
  <c r="AG30" i="75"/>
  <c r="AG31" i="75"/>
  <c r="AG32" i="75"/>
  <c r="AG33" i="75"/>
  <c r="AG34" i="75"/>
  <c r="AG35" i="75"/>
  <c r="AG36" i="75"/>
  <c r="AG37" i="75"/>
  <c r="AG38" i="75"/>
  <c r="AG39" i="75"/>
  <c r="AG40" i="75"/>
  <c r="AG41" i="75"/>
  <c r="AG42" i="75"/>
  <c r="AG43" i="75"/>
  <c r="AG44" i="75"/>
  <c r="AG45" i="75"/>
  <c r="AG46" i="75"/>
  <c r="AG47" i="75"/>
  <c r="AG48" i="75"/>
  <c r="AG49" i="75"/>
  <c r="AG50" i="75"/>
  <c r="AG51" i="75"/>
  <c r="AG52" i="75"/>
  <c r="AG53" i="75"/>
  <c r="AG54" i="75"/>
  <c r="AG55" i="75"/>
  <c r="AG56" i="75"/>
  <c r="AG57" i="75"/>
  <c r="AG58" i="75"/>
  <c r="AG59" i="75"/>
  <c r="AG60" i="75"/>
  <c r="AG61" i="75"/>
  <c r="AG62" i="75"/>
  <c r="AG63" i="75"/>
  <c r="AG64" i="75"/>
  <c r="AG65" i="75"/>
  <c r="AG66" i="75"/>
  <c r="AG67" i="75"/>
  <c r="AG68" i="75"/>
  <c r="AG69" i="75"/>
  <c r="AG70" i="75"/>
  <c r="AG71" i="75"/>
  <c r="AG72" i="75"/>
  <c r="AG73" i="75"/>
  <c r="AG74" i="75"/>
  <c r="AG75" i="75"/>
  <c r="AG76" i="75"/>
  <c r="AG77" i="75"/>
  <c r="AG78" i="75"/>
  <c r="AG79" i="75"/>
  <c r="AG80" i="75"/>
  <c r="AH5" i="75"/>
  <c r="AG5" i="75"/>
  <c r="AF6" i="75"/>
  <c r="AF7" i="75"/>
  <c r="AF8" i="75"/>
  <c r="AF9" i="75"/>
  <c r="AF10" i="75"/>
  <c r="AF11" i="75"/>
  <c r="AF12" i="75"/>
  <c r="AF13" i="75"/>
  <c r="AF14" i="75"/>
  <c r="AF15" i="75"/>
  <c r="AF16" i="75"/>
  <c r="AF17" i="75"/>
  <c r="AF18" i="75"/>
  <c r="AF19" i="75"/>
  <c r="AF20" i="75"/>
  <c r="AF21" i="75"/>
  <c r="AF22" i="75"/>
  <c r="AF23" i="75"/>
  <c r="AF24" i="75"/>
  <c r="AF25" i="75"/>
  <c r="AF26" i="75"/>
  <c r="AF27" i="75"/>
  <c r="AF28" i="75"/>
  <c r="AF29" i="75"/>
  <c r="AF30" i="75"/>
  <c r="AF31" i="75"/>
  <c r="AF32" i="75"/>
  <c r="AF33" i="75"/>
  <c r="AF34" i="75"/>
  <c r="AF35" i="75"/>
  <c r="AF36" i="75"/>
  <c r="AF37" i="75"/>
  <c r="AF38" i="75"/>
  <c r="AF39" i="75"/>
  <c r="AF40" i="75"/>
  <c r="AF41" i="75"/>
  <c r="AF42" i="75"/>
  <c r="AF43" i="75"/>
  <c r="AF44" i="75"/>
  <c r="AF45" i="75"/>
  <c r="AF46" i="75"/>
  <c r="AF47" i="75"/>
  <c r="AF48" i="75"/>
  <c r="AF49" i="75"/>
  <c r="AF50" i="75"/>
  <c r="AF51" i="75"/>
  <c r="AF52" i="75"/>
  <c r="AF53" i="75"/>
  <c r="AF54" i="75"/>
  <c r="AF55" i="75"/>
  <c r="AF56" i="75"/>
  <c r="AF57" i="75"/>
  <c r="AF58" i="75"/>
  <c r="AF59" i="75"/>
  <c r="AF60" i="75"/>
  <c r="AF61" i="75"/>
  <c r="AF62" i="75"/>
  <c r="AF63" i="75"/>
  <c r="AF64" i="75"/>
  <c r="AF65" i="75"/>
  <c r="AF66" i="75"/>
  <c r="AF67" i="75"/>
  <c r="AF68" i="75"/>
  <c r="AF69" i="75"/>
  <c r="AF70" i="75"/>
  <c r="AF71" i="75"/>
  <c r="AF72" i="75"/>
  <c r="AF73" i="75"/>
  <c r="AF74" i="75"/>
  <c r="AF75" i="75"/>
  <c r="AF76" i="75"/>
  <c r="AF77" i="75"/>
  <c r="AF78" i="75"/>
  <c r="AF79" i="75"/>
  <c r="AF80" i="75"/>
  <c r="AF5" i="75"/>
  <c r="AE6" i="75"/>
  <c r="AE7" i="75"/>
  <c r="AE8" i="75"/>
  <c r="AE9" i="75"/>
  <c r="AE10" i="75"/>
  <c r="AE11" i="75"/>
  <c r="AE12" i="75"/>
  <c r="AE13" i="75"/>
  <c r="AE14" i="75"/>
  <c r="AE15" i="75"/>
  <c r="AE16" i="75"/>
  <c r="AE17" i="75"/>
  <c r="AE18" i="75"/>
  <c r="AE19" i="75"/>
  <c r="AE20" i="75"/>
  <c r="AE21" i="75"/>
  <c r="AE22" i="75"/>
  <c r="AE23" i="75"/>
  <c r="AE24" i="75"/>
  <c r="AE25" i="75"/>
  <c r="AE26" i="75"/>
  <c r="AE27" i="75"/>
  <c r="AE28" i="75"/>
  <c r="AE29" i="75"/>
  <c r="AE30" i="75"/>
  <c r="AE31" i="75"/>
  <c r="AE32" i="75"/>
  <c r="AE33" i="75"/>
  <c r="AE34" i="75"/>
  <c r="AE35" i="75"/>
  <c r="AE36" i="75"/>
  <c r="AE37" i="75"/>
  <c r="AE38" i="75"/>
  <c r="AE39" i="75"/>
  <c r="AE40" i="75"/>
  <c r="AE41" i="75"/>
  <c r="AE42" i="75"/>
  <c r="AE43" i="75"/>
  <c r="AE44" i="75"/>
  <c r="AE45" i="75"/>
  <c r="AE46" i="75"/>
  <c r="AE47" i="75"/>
  <c r="AE48" i="75"/>
  <c r="AE49" i="75"/>
  <c r="AE50" i="75"/>
  <c r="AE51" i="75"/>
  <c r="AE52" i="75"/>
  <c r="AE53" i="75"/>
  <c r="AE54" i="75"/>
  <c r="AE55" i="75"/>
  <c r="AE56" i="75"/>
  <c r="AE57" i="75"/>
  <c r="AE58" i="75"/>
  <c r="AE59" i="75"/>
  <c r="AE60" i="75"/>
  <c r="AE61" i="75"/>
  <c r="AE62" i="75"/>
  <c r="AE63" i="75"/>
  <c r="AE64" i="75"/>
  <c r="AE65" i="75"/>
  <c r="AE66" i="75"/>
  <c r="AE67" i="75"/>
  <c r="AE68" i="75"/>
  <c r="AE69" i="75"/>
  <c r="AE70" i="75"/>
  <c r="AE71" i="75"/>
  <c r="AE72" i="75"/>
  <c r="AE73" i="75"/>
  <c r="AE74" i="75"/>
  <c r="AE75" i="75"/>
  <c r="AE76" i="75"/>
  <c r="AE77" i="75"/>
  <c r="AE78" i="75"/>
  <c r="AE79" i="75"/>
  <c r="AE80" i="75"/>
  <c r="AD6" i="75"/>
  <c r="AD7" i="75"/>
  <c r="AD8" i="75"/>
  <c r="AD9" i="75"/>
  <c r="AD10" i="75"/>
  <c r="AD11" i="75"/>
  <c r="AD12" i="75"/>
  <c r="AD13" i="75"/>
  <c r="AD14" i="75"/>
  <c r="AD15" i="75"/>
  <c r="AD16" i="75"/>
  <c r="AD17" i="75"/>
  <c r="AD18" i="75"/>
  <c r="AD19" i="75"/>
  <c r="AD20" i="75"/>
  <c r="AD21" i="75"/>
  <c r="AD22" i="75"/>
  <c r="AD23" i="75"/>
  <c r="AD24" i="75"/>
  <c r="AD25" i="75"/>
  <c r="AD26" i="75"/>
  <c r="AD27" i="75"/>
  <c r="AD28" i="75"/>
  <c r="AD29" i="75"/>
  <c r="AD30" i="75"/>
  <c r="AD31" i="75"/>
  <c r="AD32" i="75"/>
  <c r="AD33" i="75"/>
  <c r="AD34" i="75"/>
  <c r="AD35" i="75"/>
  <c r="AD36" i="75"/>
  <c r="AD37" i="75"/>
  <c r="AD38" i="75"/>
  <c r="AD39" i="75"/>
  <c r="AD40" i="75"/>
  <c r="AD41" i="75"/>
  <c r="AD42" i="75"/>
  <c r="AD43" i="75"/>
  <c r="AD44" i="75"/>
  <c r="AD45" i="75"/>
  <c r="AD46" i="75"/>
  <c r="AD47" i="75"/>
  <c r="AD48" i="75"/>
  <c r="AD49" i="75"/>
  <c r="AD50" i="75"/>
  <c r="AD51" i="75"/>
  <c r="AD52" i="75"/>
  <c r="AD53" i="75"/>
  <c r="AD54" i="75"/>
  <c r="AD55" i="75"/>
  <c r="AD56" i="75"/>
  <c r="AD57" i="75"/>
  <c r="AD58" i="75"/>
  <c r="AD59" i="75"/>
  <c r="AD60" i="75"/>
  <c r="AD61" i="75"/>
  <c r="AD62" i="75"/>
  <c r="AD63" i="75"/>
  <c r="AD64" i="75"/>
  <c r="AD65" i="75"/>
  <c r="AD66" i="75"/>
  <c r="AD67" i="75"/>
  <c r="AD68" i="75"/>
  <c r="AD69" i="75"/>
  <c r="AD70" i="75"/>
  <c r="AD71" i="75"/>
  <c r="AD72" i="75"/>
  <c r="AD73" i="75"/>
  <c r="AD74" i="75"/>
  <c r="AD75" i="75"/>
  <c r="AD76" i="75"/>
  <c r="AD77" i="75"/>
  <c r="AD78" i="75"/>
  <c r="AD79" i="75"/>
  <c r="AD80" i="75"/>
  <c r="AD5" i="75"/>
  <c r="AE5" i="75"/>
  <c r="O89" i="25"/>
  <c r="O88" i="25"/>
  <c r="O87" i="25"/>
  <c r="O86" i="25"/>
  <c r="O85" i="25"/>
  <c r="O84" i="25"/>
  <c r="O83" i="25"/>
  <c r="O82" i="25"/>
  <c r="O81" i="25"/>
  <c r="O80" i="25"/>
  <c r="O79" i="25"/>
  <c r="O78" i="25"/>
  <c r="O77" i="25"/>
  <c r="O76" i="25"/>
  <c r="O75" i="25"/>
  <c r="O74" i="25"/>
  <c r="O73" i="25"/>
  <c r="O72" i="25"/>
  <c r="O71" i="25"/>
  <c r="O70" i="25"/>
  <c r="O69" i="25"/>
  <c r="O68" i="25"/>
  <c r="O67" i="25"/>
  <c r="O66" i="25"/>
  <c r="O65" i="25"/>
  <c r="O64" i="25"/>
  <c r="O63" i="25"/>
  <c r="O62" i="25"/>
  <c r="O61" i="25"/>
  <c r="O60" i="25"/>
  <c r="O59" i="25"/>
  <c r="O58" i="25"/>
  <c r="O57" i="25"/>
  <c r="O56" i="25"/>
  <c r="O55" i="25"/>
  <c r="O54" i="25"/>
  <c r="N5" i="25"/>
  <c r="T15" i="93"/>
  <c r="U15" i="93"/>
  <c r="V15" i="93"/>
  <c r="W15" i="93"/>
  <c r="X15" i="93"/>
  <c r="Y15" i="93"/>
  <c r="T14" i="93"/>
  <c r="U14" i="93"/>
  <c r="V14" i="93"/>
  <c r="W14" i="93"/>
  <c r="X14" i="93"/>
  <c r="Y14" i="93"/>
  <c r="Z14" i="93"/>
  <c r="T13" i="93"/>
  <c r="U13" i="93"/>
  <c r="V13" i="93"/>
  <c r="W13" i="93"/>
  <c r="X13" i="93"/>
  <c r="Y13" i="93"/>
  <c r="T12" i="93"/>
  <c r="U12" i="93"/>
  <c r="V12" i="93"/>
  <c r="W12" i="93"/>
  <c r="X12" i="93"/>
  <c r="Y12" i="93"/>
  <c r="T11" i="93"/>
  <c r="U11" i="93"/>
  <c r="V11" i="93"/>
  <c r="W11" i="93"/>
  <c r="X11" i="93"/>
  <c r="Y11" i="93"/>
  <c r="T10" i="93"/>
  <c r="U10" i="93"/>
  <c r="V10" i="93"/>
  <c r="W10" i="93"/>
  <c r="X10" i="93"/>
  <c r="Y10" i="93"/>
  <c r="T9" i="93"/>
  <c r="U9" i="93"/>
  <c r="V9" i="93"/>
  <c r="W9" i="93"/>
  <c r="X9" i="93"/>
  <c r="Y9" i="93"/>
  <c r="T8" i="93"/>
  <c r="U8" i="93"/>
  <c r="V8" i="93"/>
  <c r="W8" i="93"/>
  <c r="X8" i="93"/>
  <c r="Y8" i="93"/>
  <c r="T7" i="93"/>
  <c r="U7" i="93"/>
  <c r="V7" i="93"/>
  <c r="W7" i="93"/>
  <c r="X7" i="93"/>
  <c r="Y7" i="93"/>
  <c r="T6" i="93"/>
  <c r="U6" i="93"/>
  <c r="V6" i="93"/>
  <c r="W6" i="93"/>
  <c r="X6" i="93"/>
  <c r="Y6" i="93"/>
  <c r="Z15" i="93"/>
  <c r="Z13" i="93"/>
  <c r="Z12" i="93"/>
  <c r="Z11" i="93"/>
  <c r="Z10" i="93"/>
  <c r="Z9" i="93"/>
  <c r="Z8" i="93"/>
  <c r="Z7" i="93"/>
  <c r="Z6" i="93"/>
  <c r="T5" i="93"/>
  <c r="U5" i="93"/>
  <c r="V5" i="93"/>
  <c r="W5" i="93"/>
  <c r="X5" i="93"/>
  <c r="Y5" i="93"/>
  <c r="Z5" i="93"/>
  <c r="U4" i="93"/>
  <c r="V4" i="93"/>
  <c r="W4" i="93"/>
  <c r="X4" i="93"/>
  <c r="Y4" i="93"/>
  <c r="Z4" i="93"/>
  <c r="T4" i="93"/>
  <c r="L119" i="78"/>
  <c r="L110" i="78"/>
  <c r="L111" i="78"/>
  <c r="L109" i="78"/>
  <c r="L112" i="78"/>
  <c r="L105" i="78"/>
  <c r="L100" i="78"/>
  <c r="L101" i="78"/>
  <c r="L102" i="78"/>
  <c r="L103" i="78"/>
  <c r="L99" i="78"/>
  <c r="L96" i="78"/>
  <c r="L90" i="78"/>
  <c r="L91" i="78"/>
  <c r="L92" i="78"/>
  <c r="L93" i="78"/>
  <c r="L94" i="78"/>
  <c r="L89" i="78"/>
  <c r="L87" i="78"/>
  <c r="L85" i="78"/>
  <c r="L86" i="78"/>
  <c r="L84" i="78"/>
  <c r="L71" i="78"/>
  <c r="L70" i="78"/>
  <c r="L65" i="78"/>
  <c r="L61" i="78"/>
  <c r="L62" i="78"/>
  <c r="L63" i="78"/>
  <c r="L60" i="78"/>
  <c r="L56" i="78"/>
  <c r="L52" i="78"/>
  <c r="L53" i="78"/>
  <c r="L54" i="78"/>
  <c r="L51" i="78"/>
  <c r="L47" i="78"/>
  <c r="L45" i="78"/>
  <c r="L44" i="78"/>
  <c r="L39" i="78"/>
  <c r="L29" i="78"/>
  <c r="L30" i="78"/>
  <c r="L31" i="78"/>
  <c r="L32" i="78"/>
  <c r="L28" i="78"/>
  <c r="L25" i="78"/>
  <c r="L20" i="78"/>
  <c r="L21" i="78"/>
  <c r="L22" i="78"/>
  <c r="L23" i="78"/>
  <c r="L19" i="78"/>
  <c r="L16" i="78"/>
  <c r="L10" i="78"/>
  <c r="L11" i="78"/>
  <c r="L12" i="78"/>
  <c r="L13" i="78"/>
  <c r="L14" i="78"/>
  <c r="L9" i="78"/>
  <c r="L5" i="78"/>
  <c r="L6" i="78"/>
  <c r="L7" i="78"/>
  <c r="L4" i="78"/>
  <c r="L15" i="78"/>
  <c r="L17" i="78"/>
  <c r="L18" i="78"/>
  <c r="L24" i="78"/>
  <c r="L26" i="78"/>
  <c r="L27" i="78"/>
  <c r="L33" i="78"/>
  <c r="L34" i="78"/>
  <c r="L35" i="78"/>
  <c r="L36" i="78"/>
  <c r="L37" i="78"/>
  <c r="L38" i="78"/>
  <c r="L46" i="78"/>
  <c r="L48" i="78"/>
  <c r="L49" i="78"/>
  <c r="L50" i="78"/>
  <c r="L55" i="78"/>
  <c r="L57" i="78"/>
  <c r="L58" i="78"/>
  <c r="L59" i="78"/>
  <c r="L64" i="78"/>
  <c r="L66" i="78"/>
  <c r="L67" i="78"/>
  <c r="L68" i="78"/>
  <c r="L69" i="78"/>
  <c r="L72" i="78"/>
  <c r="L73" i="78"/>
  <c r="L74" i="78"/>
  <c r="L75" i="78"/>
  <c r="L76" i="78"/>
  <c r="L77" i="78"/>
  <c r="L78" i="78"/>
  <c r="L79" i="78"/>
  <c r="L88" i="78"/>
  <c r="L95" i="78"/>
  <c r="L97" i="78"/>
  <c r="L98" i="78"/>
  <c r="L104" i="78"/>
  <c r="L106" i="78"/>
  <c r="L107" i="78"/>
  <c r="L108" i="78"/>
  <c r="L113" i="78"/>
  <c r="L114" i="78"/>
  <c r="L115" i="78"/>
  <c r="L116" i="78"/>
  <c r="L117" i="78"/>
  <c r="L118" i="78"/>
  <c r="L8" i="78"/>
  <c r="K8" i="78"/>
  <c r="K5" i="84"/>
  <c r="L5" i="84"/>
  <c r="M5" i="84"/>
  <c r="N5" i="84"/>
  <c r="O5" i="84"/>
  <c r="P5" i="84"/>
  <c r="Q5" i="84"/>
  <c r="K6" i="84"/>
  <c r="L6" i="84"/>
  <c r="M6" i="84"/>
  <c r="N6" i="84"/>
  <c r="O6" i="84"/>
  <c r="P6" i="84"/>
  <c r="Q6" i="84"/>
  <c r="K7" i="84"/>
  <c r="L7" i="84"/>
  <c r="M7" i="84"/>
  <c r="N7" i="84"/>
  <c r="O7" i="84"/>
  <c r="P7" i="84"/>
  <c r="Q7" i="84"/>
  <c r="K8" i="84"/>
  <c r="L8" i="84"/>
  <c r="M8" i="84"/>
  <c r="N8" i="84"/>
  <c r="O8" i="84"/>
  <c r="P8" i="84"/>
  <c r="Q8" i="84"/>
  <c r="K9" i="84"/>
  <c r="L9" i="84"/>
  <c r="M9" i="84"/>
  <c r="N9" i="84"/>
  <c r="O9" i="84"/>
  <c r="P9" i="84"/>
  <c r="Q9" i="84"/>
  <c r="K10" i="84"/>
  <c r="L10" i="84"/>
  <c r="M10" i="84"/>
  <c r="N10" i="84"/>
  <c r="O10" i="84"/>
  <c r="P10" i="84"/>
  <c r="Q10" i="84"/>
  <c r="K11" i="84"/>
  <c r="L11" i="84"/>
  <c r="M11" i="84"/>
  <c r="N11" i="84"/>
  <c r="O11" i="84"/>
  <c r="P11" i="84"/>
  <c r="Q11" i="84"/>
  <c r="K12" i="84"/>
  <c r="L12" i="84"/>
  <c r="M12" i="84"/>
  <c r="N12" i="84"/>
  <c r="O12" i="84"/>
  <c r="P12" i="84"/>
  <c r="Q12" i="84"/>
  <c r="K13" i="84"/>
  <c r="L13" i="84"/>
  <c r="M13" i="84"/>
  <c r="N13" i="84"/>
  <c r="O13" i="84"/>
  <c r="P13" i="84"/>
  <c r="Q13" i="84"/>
  <c r="K14" i="84"/>
  <c r="L14" i="84"/>
  <c r="M14" i="84"/>
  <c r="N14" i="84"/>
  <c r="O14" i="84"/>
  <c r="P14" i="84"/>
  <c r="Q14" i="84"/>
  <c r="K15" i="84"/>
  <c r="L15" i="84"/>
  <c r="M15" i="84"/>
  <c r="N15" i="84"/>
  <c r="O15" i="84"/>
  <c r="P15" i="84"/>
  <c r="Q15" i="84"/>
  <c r="K16" i="84"/>
  <c r="L16" i="84"/>
  <c r="M16" i="84"/>
  <c r="N16" i="84"/>
  <c r="O16" i="84"/>
  <c r="P16" i="84"/>
  <c r="Q16" i="84"/>
  <c r="K17" i="84"/>
  <c r="L17" i="84"/>
  <c r="M17" i="84"/>
  <c r="N17" i="84"/>
  <c r="O17" i="84"/>
  <c r="P17" i="84"/>
  <c r="Q17" i="84"/>
  <c r="K18" i="84"/>
  <c r="L18" i="84"/>
  <c r="M18" i="84"/>
  <c r="N18" i="84"/>
  <c r="O18" i="84"/>
  <c r="P18" i="84"/>
  <c r="Q18" i="84"/>
  <c r="K19" i="84"/>
  <c r="L19" i="84"/>
  <c r="M19" i="84"/>
  <c r="N19" i="84"/>
  <c r="O19" i="84"/>
  <c r="P19" i="84"/>
  <c r="Q19" i="84"/>
  <c r="K20" i="84"/>
  <c r="L20" i="84"/>
  <c r="M20" i="84"/>
  <c r="N20" i="84"/>
  <c r="O20" i="84"/>
  <c r="P20" i="84"/>
  <c r="Q20" i="84"/>
  <c r="K21" i="84"/>
  <c r="L21" i="84"/>
  <c r="M21" i="84"/>
  <c r="N21" i="84"/>
  <c r="O21" i="84"/>
  <c r="P21" i="84"/>
  <c r="Q21" i="84"/>
  <c r="K22" i="84"/>
  <c r="L22" i="84"/>
  <c r="M22" i="84"/>
  <c r="N22" i="84"/>
  <c r="O22" i="84"/>
  <c r="P22" i="84"/>
  <c r="Q22" i="84"/>
  <c r="K23" i="84"/>
  <c r="L23" i="84"/>
  <c r="M23" i="84"/>
  <c r="N23" i="84"/>
  <c r="O23" i="84"/>
  <c r="P23" i="84"/>
  <c r="Q23" i="84"/>
  <c r="K24" i="84"/>
  <c r="L24" i="84"/>
  <c r="M24" i="84"/>
  <c r="N24" i="84"/>
  <c r="O24" i="84"/>
  <c r="P24" i="84"/>
  <c r="Q24" i="84"/>
  <c r="K25" i="84"/>
  <c r="L25" i="84"/>
  <c r="M25" i="84"/>
  <c r="N25" i="84"/>
  <c r="O25" i="84"/>
  <c r="P25" i="84"/>
  <c r="Q25" i="84"/>
  <c r="K26" i="84"/>
  <c r="L26" i="84"/>
  <c r="M26" i="84"/>
  <c r="N26" i="84"/>
  <c r="O26" i="84"/>
  <c r="P26" i="84"/>
  <c r="Q26" i="84"/>
  <c r="K27" i="84"/>
  <c r="L27" i="84"/>
  <c r="M27" i="84"/>
  <c r="N27" i="84"/>
  <c r="O27" i="84"/>
  <c r="P27" i="84"/>
  <c r="Q27" i="84"/>
  <c r="K28" i="84"/>
  <c r="L28" i="84"/>
  <c r="M28" i="84"/>
  <c r="N28" i="84"/>
  <c r="O28" i="84"/>
  <c r="P28" i="84"/>
  <c r="Q28" i="84"/>
  <c r="K29" i="84"/>
  <c r="L29" i="84"/>
  <c r="M29" i="84"/>
  <c r="N29" i="84"/>
  <c r="O29" i="84"/>
  <c r="P29" i="84"/>
  <c r="Q29" i="84"/>
  <c r="K30" i="84"/>
  <c r="L30" i="84"/>
  <c r="M30" i="84"/>
  <c r="N30" i="84"/>
  <c r="O30" i="84"/>
  <c r="P30" i="84"/>
  <c r="Q30" i="84"/>
  <c r="K31" i="84"/>
  <c r="L31" i="84"/>
  <c r="M31" i="84"/>
  <c r="N31" i="84"/>
  <c r="O31" i="84"/>
  <c r="P31" i="84"/>
  <c r="Q31" i="84"/>
  <c r="K32" i="84"/>
  <c r="L32" i="84"/>
  <c r="M32" i="84"/>
  <c r="N32" i="84"/>
  <c r="O32" i="84"/>
  <c r="P32" i="84"/>
  <c r="Q32" i="84"/>
  <c r="K33" i="84"/>
  <c r="L33" i="84"/>
  <c r="M33" i="84"/>
  <c r="N33" i="84"/>
  <c r="O33" i="84"/>
  <c r="P33" i="84"/>
  <c r="Q33" i="84"/>
  <c r="K34" i="84"/>
  <c r="L34" i="84"/>
  <c r="M34" i="84"/>
  <c r="N34" i="84"/>
  <c r="O34" i="84"/>
  <c r="P34" i="84"/>
  <c r="Q34" i="84"/>
  <c r="K35" i="84"/>
  <c r="L35" i="84"/>
  <c r="M35" i="84"/>
  <c r="N35" i="84"/>
  <c r="O35" i="84"/>
  <c r="P35" i="84"/>
  <c r="Q35" i="84"/>
  <c r="K36" i="84"/>
  <c r="L36" i="84"/>
  <c r="M36" i="84"/>
  <c r="N36" i="84"/>
  <c r="O36" i="84"/>
  <c r="P36" i="84"/>
  <c r="Q36" i="84"/>
  <c r="K37" i="84"/>
  <c r="L37" i="84"/>
  <c r="M37" i="84"/>
  <c r="N37" i="84"/>
  <c r="O37" i="84"/>
  <c r="P37" i="84"/>
  <c r="Q37" i="84"/>
  <c r="K38" i="84"/>
  <c r="L38" i="84"/>
  <c r="M38" i="84"/>
  <c r="N38" i="84"/>
  <c r="O38" i="84"/>
  <c r="P38" i="84"/>
  <c r="Q38" i="84"/>
  <c r="K39" i="84"/>
  <c r="L39" i="84"/>
  <c r="M39" i="84"/>
  <c r="N39" i="84"/>
  <c r="O39" i="84"/>
  <c r="P39" i="84"/>
  <c r="Q39" i="84"/>
  <c r="K40" i="84"/>
  <c r="L40" i="84"/>
  <c r="M40" i="84"/>
  <c r="N40" i="84"/>
  <c r="O40" i="84"/>
  <c r="P40" i="84"/>
  <c r="Q40" i="84"/>
  <c r="K41" i="84"/>
  <c r="L41" i="84"/>
  <c r="M41" i="84"/>
  <c r="N41" i="84"/>
  <c r="O41" i="84"/>
  <c r="P41" i="84"/>
  <c r="Q41" i="84"/>
  <c r="K42" i="84"/>
  <c r="L42" i="84"/>
  <c r="M42" i="84"/>
  <c r="N42" i="84"/>
  <c r="O42" i="84"/>
  <c r="P42" i="84"/>
  <c r="Q42" i="84"/>
  <c r="K43" i="84"/>
  <c r="L43" i="84"/>
  <c r="M43" i="84"/>
  <c r="N43" i="84"/>
  <c r="O43" i="84"/>
  <c r="P43" i="84"/>
  <c r="Q43" i="84"/>
  <c r="K44" i="84"/>
  <c r="L44" i="84"/>
  <c r="M44" i="84"/>
  <c r="N44" i="84"/>
  <c r="O44" i="84"/>
  <c r="P44" i="84"/>
  <c r="Q44" i="84"/>
  <c r="K45" i="84"/>
  <c r="L45" i="84"/>
  <c r="M45" i="84"/>
  <c r="N45" i="84"/>
  <c r="O45" i="84"/>
  <c r="P45" i="84"/>
  <c r="Q45" i="84"/>
  <c r="K46" i="84"/>
  <c r="L46" i="84"/>
  <c r="M46" i="84"/>
  <c r="N46" i="84"/>
  <c r="O46" i="84"/>
  <c r="P46" i="84"/>
  <c r="Q46" i="84"/>
  <c r="K47" i="84"/>
  <c r="L47" i="84"/>
  <c r="M47" i="84"/>
  <c r="N47" i="84"/>
  <c r="O47" i="84"/>
  <c r="P47" i="84"/>
  <c r="Q47" i="84"/>
  <c r="K48" i="84"/>
  <c r="L48" i="84"/>
  <c r="M48" i="84"/>
  <c r="N48" i="84"/>
  <c r="O48" i="84"/>
  <c r="P48" i="84"/>
  <c r="Q48" i="84"/>
  <c r="K49" i="84"/>
  <c r="L49" i="84"/>
  <c r="M49" i="84"/>
  <c r="N49" i="84"/>
  <c r="O49" i="84"/>
  <c r="P49" i="84"/>
  <c r="Q49" i="84"/>
  <c r="K50" i="84"/>
  <c r="L50" i="84"/>
  <c r="M50" i="84"/>
  <c r="N50" i="84"/>
  <c r="O50" i="84"/>
  <c r="P50" i="84"/>
  <c r="Q50" i="84"/>
  <c r="K51" i="84"/>
  <c r="L51" i="84"/>
  <c r="M51" i="84"/>
  <c r="N51" i="84"/>
  <c r="O51" i="84"/>
  <c r="P51" i="84"/>
  <c r="Q51" i="84"/>
  <c r="K52" i="84"/>
  <c r="L52" i="84"/>
  <c r="M52" i="84"/>
  <c r="N52" i="84"/>
  <c r="O52" i="84"/>
  <c r="P52" i="84"/>
  <c r="Q52" i="84"/>
  <c r="K53" i="84"/>
  <c r="L53" i="84"/>
  <c r="M53" i="84"/>
  <c r="N53" i="84"/>
  <c r="O53" i="84"/>
  <c r="P53" i="84"/>
  <c r="Q53" i="84"/>
  <c r="K54" i="84"/>
  <c r="L54" i="84"/>
  <c r="M54" i="84"/>
  <c r="N54" i="84"/>
  <c r="O54" i="84"/>
  <c r="P54" i="84"/>
  <c r="Q54" i="84"/>
  <c r="K55" i="84"/>
  <c r="L55" i="84"/>
  <c r="M55" i="84"/>
  <c r="N55" i="84"/>
  <c r="O55" i="84"/>
  <c r="P55" i="84"/>
  <c r="Q55" i="84"/>
  <c r="K56" i="84"/>
  <c r="L56" i="84"/>
  <c r="M56" i="84"/>
  <c r="N56" i="84"/>
  <c r="O56" i="84"/>
  <c r="P56" i="84"/>
  <c r="Q56" i="84"/>
  <c r="K57" i="84"/>
  <c r="L57" i="84"/>
  <c r="M57" i="84"/>
  <c r="N57" i="84"/>
  <c r="O57" i="84"/>
  <c r="P57" i="84"/>
  <c r="Q57" i="84"/>
  <c r="K58" i="84"/>
  <c r="L58" i="84"/>
  <c r="M58" i="84"/>
  <c r="N58" i="84"/>
  <c r="O58" i="84"/>
  <c r="P58" i="84"/>
  <c r="Q58" i="84"/>
  <c r="K59" i="84"/>
  <c r="L59" i="84"/>
  <c r="M59" i="84"/>
  <c r="N59" i="84"/>
  <c r="O59" i="84"/>
  <c r="P59" i="84"/>
  <c r="Q59" i="84"/>
  <c r="K60" i="84"/>
  <c r="L60" i="84"/>
  <c r="M60" i="84"/>
  <c r="N60" i="84"/>
  <c r="O60" i="84"/>
  <c r="P60" i="84"/>
  <c r="Q60" i="84"/>
  <c r="K61" i="84"/>
  <c r="L61" i="84"/>
  <c r="M61" i="84"/>
  <c r="N61" i="84"/>
  <c r="O61" i="84"/>
  <c r="P61" i="84"/>
  <c r="Q61" i="84"/>
  <c r="K62" i="84"/>
  <c r="L62" i="84"/>
  <c r="M62" i="84"/>
  <c r="N62" i="84"/>
  <c r="O62" i="84"/>
  <c r="P62" i="84"/>
  <c r="Q62" i="84"/>
  <c r="K63" i="84"/>
  <c r="L63" i="84"/>
  <c r="M63" i="84"/>
  <c r="N63" i="84"/>
  <c r="O63" i="84"/>
  <c r="P63" i="84"/>
  <c r="Q63" i="84"/>
  <c r="K64" i="84"/>
  <c r="L64" i="84"/>
  <c r="M64" i="84"/>
  <c r="N64" i="84"/>
  <c r="O64" i="84"/>
  <c r="P64" i="84"/>
  <c r="Q64" i="84"/>
  <c r="K65" i="84"/>
  <c r="L65" i="84"/>
  <c r="M65" i="84"/>
  <c r="N65" i="84"/>
  <c r="O65" i="84"/>
  <c r="P65" i="84"/>
  <c r="Q65" i="84"/>
  <c r="K66" i="84"/>
  <c r="L66" i="84"/>
  <c r="M66" i="84"/>
  <c r="N66" i="84"/>
  <c r="O66" i="84"/>
  <c r="P66" i="84"/>
  <c r="Q66" i="84"/>
  <c r="K67" i="84"/>
  <c r="L67" i="84"/>
  <c r="M67" i="84"/>
  <c r="N67" i="84"/>
  <c r="O67" i="84"/>
  <c r="P67" i="84"/>
  <c r="Q67" i="84"/>
  <c r="K68" i="84"/>
  <c r="L68" i="84"/>
  <c r="M68" i="84"/>
  <c r="N68" i="84"/>
  <c r="O68" i="84"/>
  <c r="P68" i="84"/>
  <c r="Q68" i="84"/>
  <c r="K69" i="84"/>
  <c r="L69" i="84"/>
  <c r="M69" i="84"/>
  <c r="N69" i="84"/>
  <c r="O69" i="84"/>
  <c r="P69" i="84"/>
  <c r="Q69" i="84"/>
  <c r="K70" i="84"/>
  <c r="L70" i="84"/>
  <c r="M70" i="84"/>
  <c r="N70" i="84"/>
  <c r="O70" i="84"/>
  <c r="P70" i="84"/>
  <c r="Q70" i="84"/>
  <c r="K71" i="84"/>
  <c r="L71" i="84"/>
  <c r="M71" i="84"/>
  <c r="N71" i="84"/>
  <c r="O71" i="84"/>
  <c r="P71" i="84"/>
  <c r="Q71" i="84"/>
  <c r="K72" i="84"/>
  <c r="L72" i="84"/>
  <c r="M72" i="84"/>
  <c r="N72" i="84"/>
  <c r="O72" i="84"/>
  <c r="P72" i="84"/>
  <c r="Q72" i="84"/>
  <c r="K73" i="84"/>
  <c r="L73" i="84"/>
  <c r="M73" i="84"/>
  <c r="N73" i="84"/>
  <c r="O73" i="84"/>
  <c r="P73" i="84"/>
  <c r="Q73" i="84"/>
  <c r="K74" i="84"/>
  <c r="L74" i="84"/>
  <c r="M74" i="84"/>
  <c r="N74" i="84"/>
  <c r="O74" i="84"/>
  <c r="P74" i="84"/>
  <c r="Q74" i="84"/>
  <c r="K75" i="84"/>
  <c r="L75" i="84"/>
  <c r="M75" i="84"/>
  <c r="N75" i="84"/>
  <c r="O75" i="84"/>
  <c r="P75" i="84"/>
  <c r="Q75" i="84"/>
  <c r="K76" i="84"/>
  <c r="L76" i="84"/>
  <c r="M76" i="84"/>
  <c r="N76" i="84"/>
  <c r="O76" i="84"/>
  <c r="P76" i="84"/>
  <c r="Q76" i="84"/>
  <c r="K77" i="84"/>
  <c r="L77" i="84"/>
  <c r="M77" i="84"/>
  <c r="N77" i="84"/>
  <c r="O77" i="84"/>
  <c r="P77" i="84"/>
  <c r="Q77" i="84"/>
  <c r="K78" i="84"/>
  <c r="L78" i="84"/>
  <c r="M78" i="84"/>
  <c r="N78" i="84"/>
  <c r="O78" i="84"/>
  <c r="P78" i="84"/>
  <c r="Q78" i="84"/>
  <c r="K79" i="84"/>
  <c r="L79" i="84"/>
  <c r="M79" i="84"/>
  <c r="N79" i="84"/>
  <c r="O79" i="84"/>
  <c r="P79" i="84"/>
  <c r="Q79" i="84"/>
  <c r="K80" i="84"/>
  <c r="L80" i="84"/>
  <c r="M80" i="84"/>
  <c r="N80" i="84"/>
  <c r="O80" i="84"/>
  <c r="P80" i="84"/>
  <c r="Q80" i="84"/>
  <c r="K81" i="84"/>
  <c r="L81" i="84"/>
  <c r="M81" i="84"/>
  <c r="N81" i="84"/>
  <c r="O81" i="84"/>
  <c r="P81" i="84"/>
  <c r="Q81" i="84"/>
  <c r="K82" i="84"/>
  <c r="L82" i="84"/>
  <c r="M82" i="84"/>
  <c r="N82" i="84"/>
  <c r="O82" i="84"/>
  <c r="P82" i="84"/>
  <c r="Q82" i="84"/>
  <c r="K83" i="84"/>
  <c r="L83" i="84"/>
  <c r="M83" i="84"/>
  <c r="N83" i="84"/>
  <c r="O83" i="84"/>
  <c r="P83" i="84"/>
  <c r="Q83" i="84"/>
  <c r="K84" i="84"/>
  <c r="L84" i="84"/>
  <c r="M84" i="84"/>
  <c r="N84" i="84"/>
  <c r="O84" i="84"/>
  <c r="P84" i="84"/>
  <c r="Q84" i="84"/>
  <c r="K85" i="84"/>
  <c r="L85" i="84"/>
  <c r="M85" i="84"/>
  <c r="N85" i="84"/>
  <c r="O85" i="84"/>
  <c r="P85" i="84"/>
  <c r="Q85" i="84"/>
  <c r="K86" i="84"/>
  <c r="L86" i="84"/>
  <c r="M86" i="84"/>
  <c r="N86" i="84"/>
  <c r="O86" i="84"/>
  <c r="P86" i="84"/>
  <c r="Q86" i="84"/>
  <c r="K87" i="84"/>
  <c r="L87" i="84"/>
  <c r="M87" i="84"/>
  <c r="N87" i="84"/>
  <c r="O87" i="84"/>
  <c r="P87" i="84"/>
  <c r="Q87" i="84"/>
  <c r="K88" i="84"/>
  <c r="L88" i="84"/>
  <c r="M88" i="84"/>
  <c r="N88" i="84"/>
  <c r="O88" i="84"/>
  <c r="P88" i="84"/>
  <c r="Q88" i="84"/>
  <c r="K89" i="84"/>
  <c r="L89" i="84"/>
  <c r="M89" i="84"/>
  <c r="N89" i="84"/>
  <c r="O89" i="84"/>
  <c r="P89" i="84"/>
  <c r="Q89" i="84"/>
  <c r="K90" i="84"/>
  <c r="L90" i="84"/>
  <c r="M90" i="84"/>
  <c r="N90" i="84"/>
  <c r="O90" i="84"/>
  <c r="P90" i="84"/>
  <c r="Q90" i="84"/>
  <c r="K91" i="84"/>
  <c r="L91" i="84"/>
  <c r="M91" i="84"/>
  <c r="N91" i="84"/>
  <c r="O91" i="84"/>
  <c r="P91" i="84"/>
  <c r="Q91" i="84"/>
  <c r="K92" i="84"/>
  <c r="L92" i="84"/>
  <c r="M92" i="84"/>
  <c r="N92" i="84"/>
  <c r="O92" i="84"/>
  <c r="P92" i="84"/>
  <c r="Q92" i="84"/>
  <c r="K93" i="84"/>
  <c r="L93" i="84"/>
  <c r="M93" i="84"/>
  <c r="N93" i="84"/>
  <c r="O93" i="84"/>
  <c r="P93" i="84"/>
  <c r="Q93" i="84"/>
  <c r="K94" i="84"/>
  <c r="L94" i="84"/>
  <c r="M94" i="84"/>
  <c r="N94" i="84"/>
  <c r="O94" i="84"/>
  <c r="P94" i="84"/>
  <c r="Q94" i="84"/>
  <c r="K95" i="84"/>
  <c r="L95" i="84"/>
  <c r="M95" i="84"/>
  <c r="N95" i="84"/>
  <c r="O95" i="84"/>
  <c r="P95" i="84"/>
  <c r="Q95" i="84"/>
  <c r="K96" i="84"/>
  <c r="L96" i="84"/>
  <c r="M96" i="84"/>
  <c r="N96" i="84"/>
  <c r="O96" i="84"/>
  <c r="P96" i="84"/>
  <c r="Q96" i="84"/>
  <c r="K97" i="84"/>
  <c r="L97" i="84"/>
  <c r="M97" i="84"/>
  <c r="N97" i="84"/>
  <c r="O97" i="84"/>
  <c r="P97" i="84"/>
  <c r="Q97" i="84"/>
  <c r="K98" i="84"/>
  <c r="L98" i="84"/>
  <c r="M98" i="84"/>
  <c r="N98" i="84"/>
  <c r="O98" i="84"/>
  <c r="P98" i="84"/>
  <c r="Q98" i="84"/>
  <c r="K99" i="84"/>
  <c r="L99" i="84"/>
  <c r="M99" i="84"/>
  <c r="N99" i="84"/>
  <c r="O99" i="84"/>
  <c r="P99" i="84"/>
  <c r="Q99" i="84"/>
  <c r="K100" i="84"/>
  <c r="L100" i="84"/>
  <c r="M100" i="84"/>
  <c r="N100" i="84"/>
  <c r="O100" i="84"/>
  <c r="P100" i="84"/>
  <c r="Q100" i="84"/>
  <c r="K101" i="84"/>
  <c r="L101" i="84"/>
  <c r="M101" i="84"/>
  <c r="N101" i="84"/>
  <c r="O101" i="84"/>
  <c r="P101" i="84"/>
  <c r="Q101" i="84"/>
  <c r="K102" i="84"/>
  <c r="L102" i="84"/>
  <c r="M102" i="84"/>
  <c r="N102" i="84"/>
  <c r="O102" i="84"/>
  <c r="P102" i="84"/>
  <c r="Q102" i="84"/>
  <c r="K103" i="84"/>
  <c r="L103" i="84"/>
  <c r="M103" i="84"/>
  <c r="N103" i="84"/>
  <c r="O103" i="84"/>
  <c r="P103" i="84"/>
  <c r="Q103" i="84"/>
  <c r="K104" i="84"/>
  <c r="L104" i="84"/>
  <c r="M104" i="84"/>
  <c r="N104" i="84"/>
  <c r="O104" i="84"/>
  <c r="P104" i="84"/>
  <c r="Q104" i="84"/>
  <c r="K105" i="84"/>
  <c r="L105" i="84"/>
  <c r="M105" i="84"/>
  <c r="N105" i="84"/>
  <c r="O105" i="84"/>
  <c r="P105" i="84"/>
  <c r="Q105" i="84"/>
  <c r="K106" i="84"/>
  <c r="L106" i="84"/>
  <c r="M106" i="84"/>
  <c r="N106" i="84"/>
  <c r="O106" i="84"/>
  <c r="P106" i="84"/>
  <c r="Q106" i="84"/>
  <c r="K107" i="84"/>
  <c r="L107" i="84"/>
  <c r="M107" i="84"/>
  <c r="N107" i="84"/>
  <c r="O107" i="84"/>
  <c r="P107" i="84"/>
  <c r="Q107" i="84"/>
  <c r="K108" i="84"/>
  <c r="L108" i="84"/>
  <c r="M108" i="84"/>
  <c r="N108" i="84"/>
  <c r="O108" i="84"/>
  <c r="P108" i="84"/>
  <c r="Q108" i="84"/>
  <c r="K109" i="84"/>
  <c r="L109" i="84"/>
  <c r="M109" i="84"/>
  <c r="N109" i="84"/>
  <c r="O109" i="84"/>
  <c r="P109" i="84"/>
  <c r="Q109" i="84"/>
  <c r="K110" i="84"/>
  <c r="L110" i="84"/>
  <c r="M110" i="84"/>
  <c r="N110" i="84"/>
  <c r="O110" i="84"/>
  <c r="P110" i="84"/>
  <c r="Q110" i="84"/>
  <c r="K111" i="84"/>
  <c r="L111" i="84"/>
  <c r="M111" i="84"/>
  <c r="N111" i="84"/>
  <c r="O111" i="84"/>
  <c r="P111" i="84"/>
  <c r="Q111" i="84"/>
  <c r="K112" i="84"/>
  <c r="L112" i="84"/>
  <c r="M112" i="84"/>
  <c r="N112" i="84"/>
  <c r="O112" i="84"/>
  <c r="P112" i="84"/>
  <c r="Q112" i="84"/>
  <c r="K113" i="84"/>
  <c r="L113" i="84"/>
  <c r="M113" i="84"/>
  <c r="N113" i="84"/>
  <c r="O113" i="84"/>
  <c r="P113" i="84"/>
  <c r="Q113" i="84"/>
  <c r="K114" i="84"/>
  <c r="L114" i="84"/>
  <c r="M114" i="84"/>
  <c r="N114" i="84"/>
  <c r="O114" i="84"/>
  <c r="P114" i="84"/>
  <c r="Q114" i="84"/>
  <c r="K115" i="84"/>
  <c r="L115" i="84"/>
  <c r="M115" i="84"/>
  <c r="N115" i="84"/>
  <c r="O115" i="84"/>
  <c r="P115" i="84"/>
  <c r="Q115" i="84"/>
  <c r="K116" i="84"/>
  <c r="L116" i="84"/>
  <c r="M116" i="84"/>
  <c r="N116" i="84"/>
  <c r="O116" i="84"/>
  <c r="P116" i="84"/>
  <c r="Q116" i="84"/>
  <c r="K117" i="84"/>
  <c r="L117" i="84"/>
  <c r="M117" i="84"/>
  <c r="N117" i="84"/>
  <c r="O117" i="84"/>
  <c r="P117" i="84"/>
  <c r="Q117" i="84"/>
  <c r="K118" i="84"/>
  <c r="L118" i="84"/>
  <c r="M118" i="84"/>
  <c r="N118" i="84"/>
  <c r="O118" i="84"/>
  <c r="P118" i="84"/>
  <c r="Q118" i="84"/>
  <c r="K119" i="84"/>
  <c r="L119" i="84"/>
  <c r="M119" i="84"/>
  <c r="N119" i="84"/>
  <c r="O119" i="84"/>
  <c r="P119" i="84"/>
  <c r="Q119" i="84"/>
  <c r="K120" i="84"/>
  <c r="L120" i="84"/>
  <c r="M120" i="84"/>
  <c r="N120" i="84"/>
  <c r="O120" i="84"/>
  <c r="P120" i="84"/>
  <c r="Q120" i="84"/>
  <c r="K121" i="84"/>
  <c r="L121" i="84"/>
  <c r="M121" i="84"/>
  <c r="N121" i="84"/>
  <c r="O121" i="84"/>
  <c r="P121" i="84"/>
  <c r="Q121" i="84"/>
  <c r="K122" i="84"/>
  <c r="L122" i="84"/>
  <c r="M122" i="84"/>
  <c r="N122" i="84"/>
  <c r="O122" i="84"/>
  <c r="P122" i="84"/>
  <c r="Q122" i="84"/>
  <c r="K123" i="84"/>
  <c r="L123" i="84"/>
  <c r="M123" i="84"/>
  <c r="N123" i="84"/>
  <c r="O123" i="84"/>
  <c r="P123" i="84"/>
  <c r="Q123" i="84"/>
  <c r="K124" i="84"/>
  <c r="L124" i="84"/>
  <c r="M124" i="84"/>
  <c r="N124" i="84"/>
  <c r="O124" i="84"/>
  <c r="P124" i="84"/>
  <c r="Q124" i="84"/>
  <c r="K125" i="84"/>
  <c r="L125" i="84"/>
  <c r="M125" i="84"/>
  <c r="N125" i="84"/>
  <c r="O125" i="84"/>
  <c r="P125" i="84"/>
  <c r="Q125" i="84"/>
  <c r="K126" i="84"/>
  <c r="L126" i="84"/>
  <c r="M126" i="84"/>
  <c r="N126" i="84"/>
  <c r="O126" i="84"/>
  <c r="P126" i="84"/>
  <c r="Q126" i="84"/>
  <c r="K127" i="84"/>
  <c r="L127" i="84"/>
  <c r="M127" i="84"/>
  <c r="N127" i="84"/>
  <c r="O127" i="84"/>
  <c r="P127" i="84"/>
  <c r="Q127" i="84"/>
  <c r="K128" i="84"/>
  <c r="L128" i="84"/>
  <c r="M128" i="84"/>
  <c r="N128" i="84"/>
  <c r="O128" i="84"/>
  <c r="P128" i="84"/>
  <c r="Q128" i="84"/>
  <c r="K129" i="84"/>
  <c r="L129" i="84"/>
  <c r="M129" i="84"/>
  <c r="N129" i="84"/>
  <c r="O129" i="84"/>
  <c r="P129" i="84"/>
  <c r="Q129" i="84"/>
  <c r="K130" i="84"/>
  <c r="L130" i="84"/>
  <c r="M130" i="84"/>
  <c r="N130" i="84"/>
  <c r="O130" i="84"/>
  <c r="P130" i="84"/>
  <c r="Q130" i="84"/>
  <c r="K131" i="84"/>
  <c r="L131" i="84"/>
  <c r="M131" i="84"/>
  <c r="N131" i="84"/>
  <c r="O131" i="84"/>
  <c r="P131" i="84"/>
  <c r="Q131" i="84"/>
  <c r="K132" i="84"/>
  <c r="L132" i="84"/>
  <c r="M132" i="84"/>
  <c r="N132" i="84"/>
  <c r="O132" i="84"/>
  <c r="P132" i="84"/>
  <c r="Q132" i="84"/>
  <c r="K133" i="84"/>
  <c r="L133" i="84"/>
  <c r="M133" i="84"/>
  <c r="N133" i="84"/>
  <c r="O133" i="84"/>
  <c r="P133" i="84"/>
  <c r="Q133" i="84"/>
  <c r="K134" i="84"/>
  <c r="L134" i="84"/>
  <c r="M134" i="84"/>
  <c r="N134" i="84"/>
  <c r="O134" i="84"/>
  <c r="P134" i="84"/>
  <c r="Q134" i="84"/>
  <c r="K135" i="84"/>
  <c r="L135" i="84"/>
  <c r="M135" i="84"/>
  <c r="N135" i="84"/>
  <c r="O135" i="84"/>
  <c r="P135" i="84"/>
  <c r="Q135" i="84"/>
  <c r="K136" i="84"/>
  <c r="L136" i="84"/>
  <c r="M136" i="84"/>
  <c r="N136" i="84"/>
  <c r="O136" i="84"/>
  <c r="P136" i="84"/>
  <c r="Q136" i="84"/>
  <c r="K137" i="84"/>
  <c r="L137" i="84"/>
  <c r="M137" i="84"/>
  <c r="N137" i="84"/>
  <c r="O137" i="84"/>
  <c r="P137" i="84"/>
  <c r="Q137" i="84"/>
  <c r="K138" i="84"/>
  <c r="L138" i="84"/>
  <c r="M138" i="84"/>
  <c r="N138" i="84"/>
  <c r="O138" i="84"/>
  <c r="P138" i="84"/>
  <c r="Q138" i="84"/>
  <c r="K139" i="84"/>
  <c r="L139" i="84"/>
  <c r="M139" i="84"/>
  <c r="N139" i="84"/>
  <c r="O139" i="84"/>
  <c r="P139" i="84"/>
  <c r="Q139" i="84"/>
  <c r="K140" i="84"/>
  <c r="L140" i="84"/>
  <c r="M140" i="84"/>
  <c r="N140" i="84"/>
  <c r="O140" i="84"/>
  <c r="P140" i="84"/>
  <c r="Q140" i="84"/>
  <c r="K141" i="84"/>
  <c r="L141" i="84"/>
  <c r="M141" i="84"/>
  <c r="N141" i="84"/>
  <c r="O141" i="84"/>
  <c r="P141" i="84"/>
  <c r="Q141" i="84"/>
  <c r="K142" i="84"/>
  <c r="L142" i="84"/>
  <c r="M142" i="84"/>
  <c r="N142" i="84"/>
  <c r="O142" i="84"/>
  <c r="P142" i="84"/>
  <c r="Q142" i="84"/>
  <c r="K143" i="84"/>
  <c r="L143" i="84"/>
  <c r="M143" i="84"/>
  <c r="N143" i="84"/>
  <c r="O143" i="84"/>
  <c r="P143" i="84"/>
  <c r="Q143" i="84"/>
  <c r="K144" i="84"/>
  <c r="L144" i="84"/>
  <c r="M144" i="84"/>
  <c r="N144" i="84"/>
  <c r="O144" i="84"/>
  <c r="P144" i="84"/>
  <c r="Q144" i="84"/>
  <c r="K145" i="84"/>
  <c r="L145" i="84"/>
  <c r="M145" i="84"/>
  <c r="N145" i="84"/>
  <c r="O145" i="84"/>
  <c r="P145" i="84"/>
  <c r="Q145" i="84"/>
  <c r="K146" i="84"/>
  <c r="L146" i="84"/>
  <c r="M146" i="84"/>
  <c r="N146" i="84"/>
  <c r="O146" i="84"/>
  <c r="P146" i="84"/>
  <c r="Q146" i="84"/>
  <c r="K147" i="84"/>
  <c r="L147" i="84"/>
  <c r="M147" i="84"/>
  <c r="N147" i="84"/>
  <c r="O147" i="84"/>
  <c r="P147" i="84"/>
  <c r="Q147" i="84"/>
  <c r="K148" i="84"/>
  <c r="L148" i="84"/>
  <c r="M148" i="84"/>
  <c r="N148" i="84"/>
  <c r="O148" i="84"/>
  <c r="P148" i="84"/>
  <c r="Q148" i="84"/>
  <c r="K149" i="84"/>
  <c r="L149" i="84"/>
  <c r="M149" i="84"/>
  <c r="N149" i="84"/>
  <c r="O149" i="84"/>
  <c r="P149" i="84"/>
  <c r="Q149" i="84"/>
  <c r="K150" i="84"/>
  <c r="L150" i="84"/>
  <c r="M150" i="84"/>
  <c r="N150" i="84"/>
  <c r="O150" i="84"/>
  <c r="P150" i="84"/>
  <c r="Q150" i="84"/>
  <c r="K151" i="84"/>
  <c r="L151" i="84"/>
  <c r="M151" i="84"/>
  <c r="N151" i="84"/>
  <c r="O151" i="84"/>
  <c r="P151" i="84"/>
  <c r="Q151" i="84"/>
  <c r="K152" i="84"/>
  <c r="L152" i="84"/>
  <c r="M152" i="84"/>
  <c r="N152" i="84"/>
  <c r="O152" i="84"/>
  <c r="P152" i="84"/>
  <c r="Q152" i="84"/>
  <c r="K153" i="84"/>
  <c r="L153" i="84"/>
  <c r="M153" i="84"/>
  <c r="N153" i="84"/>
  <c r="O153" i="84"/>
  <c r="P153" i="84"/>
  <c r="Q153" i="84"/>
  <c r="K154" i="84"/>
  <c r="L154" i="84"/>
  <c r="M154" i="84"/>
  <c r="N154" i="84"/>
  <c r="O154" i="84"/>
  <c r="P154" i="84"/>
  <c r="Q154" i="84"/>
  <c r="K155" i="84"/>
  <c r="L155" i="84"/>
  <c r="M155" i="84"/>
  <c r="N155" i="84"/>
  <c r="O155" i="84"/>
  <c r="P155" i="84"/>
  <c r="Q155" i="84"/>
  <c r="K156" i="84"/>
  <c r="L156" i="84"/>
  <c r="M156" i="84"/>
  <c r="N156" i="84"/>
  <c r="O156" i="84"/>
  <c r="P156" i="84"/>
  <c r="Q156" i="84"/>
  <c r="K157" i="84"/>
  <c r="L157" i="84"/>
  <c r="M157" i="84"/>
  <c r="N157" i="84"/>
  <c r="O157" i="84"/>
  <c r="P157" i="84"/>
  <c r="Q157" i="84"/>
  <c r="K158" i="84"/>
  <c r="L158" i="84"/>
  <c r="M158" i="84"/>
  <c r="N158" i="84"/>
  <c r="O158" i="84"/>
  <c r="P158" i="84"/>
  <c r="Q158" i="84"/>
  <c r="K159" i="84"/>
  <c r="L159" i="84"/>
  <c r="M159" i="84"/>
  <c r="N159" i="84"/>
  <c r="O159" i="84"/>
  <c r="P159" i="84"/>
  <c r="Q159" i="84"/>
  <c r="K160" i="84"/>
  <c r="L160" i="84"/>
  <c r="M160" i="84"/>
  <c r="N160" i="84"/>
  <c r="O160" i="84"/>
  <c r="P160" i="84"/>
  <c r="Q160" i="84"/>
  <c r="K161" i="84"/>
  <c r="L161" i="84"/>
  <c r="M161" i="84"/>
  <c r="N161" i="84"/>
  <c r="O161" i="84"/>
  <c r="P161" i="84"/>
  <c r="Q161" i="84"/>
  <c r="K162" i="84"/>
  <c r="L162" i="84"/>
  <c r="M162" i="84"/>
  <c r="N162" i="84"/>
  <c r="O162" i="84"/>
  <c r="P162" i="84"/>
  <c r="Q162" i="84"/>
  <c r="K163" i="84"/>
  <c r="L163" i="84"/>
  <c r="M163" i="84"/>
  <c r="N163" i="84"/>
  <c r="O163" i="84"/>
  <c r="P163" i="84"/>
  <c r="Q163" i="84"/>
  <c r="L4" i="84"/>
  <c r="M4" i="84"/>
  <c r="N4" i="84"/>
  <c r="O4" i="84"/>
  <c r="P4" i="84"/>
  <c r="Q4" i="84"/>
  <c r="K4" i="84"/>
  <c r="I5" i="84"/>
  <c r="I6" i="84"/>
  <c r="I7" i="84"/>
  <c r="I8" i="84"/>
  <c r="I9" i="84"/>
  <c r="I10" i="84"/>
  <c r="I11" i="84"/>
  <c r="I12" i="84"/>
  <c r="I13" i="84"/>
  <c r="I14" i="84"/>
  <c r="I15" i="84"/>
  <c r="I16" i="84"/>
  <c r="I17" i="84"/>
  <c r="I18" i="84"/>
  <c r="I19" i="84"/>
  <c r="I20" i="84"/>
  <c r="I21" i="84"/>
  <c r="I22" i="84"/>
  <c r="I23" i="84"/>
  <c r="I24" i="84"/>
  <c r="I25" i="84"/>
  <c r="I26" i="84"/>
  <c r="I27" i="84"/>
  <c r="I28" i="84"/>
  <c r="I29" i="84"/>
  <c r="I30" i="84"/>
  <c r="I31" i="84"/>
  <c r="I32" i="84"/>
  <c r="I33" i="84"/>
  <c r="I34" i="84"/>
  <c r="I35" i="84"/>
  <c r="I36" i="84"/>
  <c r="I37" i="84"/>
  <c r="I38" i="84"/>
  <c r="I39" i="84"/>
  <c r="I40" i="84"/>
  <c r="I41" i="84"/>
  <c r="I42" i="84"/>
  <c r="I43" i="84"/>
  <c r="I44" i="84"/>
  <c r="I45" i="84"/>
  <c r="I46" i="84"/>
  <c r="I47" i="84"/>
  <c r="I48" i="84"/>
  <c r="I49" i="84"/>
  <c r="I50" i="84"/>
  <c r="I51" i="84"/>
  <c r="I52" i="84"/>
  <c r="I53" i="84"/>
  <c r="I54" i="84"/>
  <c r="I55" i="84"/>
  <c r="I56" i="84"/>
  <c r="I57" i="84"/>
  <c r="I58" i="84"/>
  <c r="I59" i="84"/>
  <c r="I60" i="84"/>
  <c r="I61" i="84"/>
  <c r="I62" i="84"/>
  <c r="I63" i="84"/>
  <c r="I64" i="84"/>
  <c r="I65" i="84"/>
  <c r="I66" i="84"/>
  <c r="I67" i="84"/>
  <c r="I68" i="84"/>
  <c r="I69" i="84"/>
  <c r="I70" i="84"/>
  <c r="I71" i="84"/>
  <c r="I72" i="84"/>
  <c r="I73" i="84"/>
  <c r="I74" i="84"/>
  <c r="I75" i="84"/>
  <c r="I76" i="84"/>
  <c r="I77" i="84"/>
  <c r="I78" i="84"/>
  <c r="I79" i="84"/>
  <c r="I80" i="84"/>
  <c r="I81" i="84"/>
  <c r="I82" i="84"/>
  <c r="I83" i="84"/>
  <c r="I84" i="84"/>
  <c r="I85" i="84"/>
  <c r="I86" i="84"/>
  <c r="I87" i="84"/>
  <c r="I88" i="84"/>
  <c r="I89" i="84"/>
  <c r="I90" i="84"/>
  <c r="I91" i="84"/>
  <c r="I92" i="84"/>
  <c r="I93" i="84"/>
  <c r="I94" i="84"/>
  <c r="I95" i="84"/>
  <c r="I96" i="84"/>
  <c r="I97" i="84"/>
  <c r="I98" i="84"/>
  <c r="I99" i="84"/>
  <c r="I100" i="84"/>
  <c r="I101" i="84"/>
  <c r="I102" i="84"/>
  <c r="I103" i="84"/>
  <c r="I104" i="84"/>
  <c r="I105" i="84"/>
  <c r="I106" i="84"/>
  <c r="I107" i="84"/>
  <c r="I108" i="84"/>
  <c r="I109" i="84"/>
  <c r="I110" i="84"/>
  <c r="I111" i="84"/>
  <c r="I112" i="84"/>
  <c r="I113" i="84"/>
  <c r="I114" i="84"/>
  <c r="I115" i="84"/>
  <c r="I116" i="84"/>
  <c r="I117" i="84"/>
  <c r="I118" i="84"/>
  <c r="I119" i="84"/>
  <c r="I120" i="84"/>
  <c r="I121" i="84"/>
  <c r="I122" i="84"/>
  <c r="I123" i="84"/>
  <c r="I124" i="84"/>
  <c r="I125" i="84"/>
  <c r="I126" i="84"/>
  <c r="I127" i="84"/>
  <c r="I128" i="84"/>
  <c r="I129" i="84"/>
  <c r="I130" i="84"/>
  <c r="I131" i="84"/>
  <c r="I132" i="84"/>
  <c r="I133" i="84"/>
  <c r="I134" i="84"/>
  <c r="I135" i="84"/>
  <c r="I136" i="84"/>
  <c r="I137" i="84"/>
  <c r="I138" i="84"/>
  <c r="I139" i="84"/>
  <c r="I140" i="84"/>
  <c r="I141" i="84"/>
  <c r="I142" i="84"/>
  <c r="I143" i="84"/>
  <c r="I144" i="84"/>
  <c r="I145" i="84"/>
  <c r="I146" i="84"/>
  <c r="I147" i="84"/>
  <c r="I148" i="84"/>
  <c r="I149" i="84"/>
  <c r="I150" i="84"/>
  <c r="I151" i="84"/>
  <c r="I152" i="84"/>
  <c r="I153" i="84"/>
  <c r="I154" i="84"/>
  <c r="I155" i="84"/>
  <c r="I156" i="84"/>
  <c r="I157" i="84"/>
  <c r="I158" i="84"/>
  <c r="I159" i="84"/>
  <c r="I160" i="84"/>
  <c r="I161" i="84"/>
  <c r="I162" i="84"/>
  <c r="I163" i="84"/>
  <c r="I4" i="84"/>
  <c r="W8" i="109"/>
  <c r="W9" i="109"/>
  <c r="W10" i="109"/>
  <c r="W11" i="109"/>
  <c r="W12" i="109"/>
  <c r="W13" i="109"/>
  <c r="W14" i="109"/>
  <c r="W15" i="109"/>
  <c r="W16" i="109"/>
  <c r="W17" i="109"/>
  <c r="W18" i="109"/>
  <c r="W19" i="109"/>
  <c r="W20" i="109"/>
  <c r="W21" i="109"/>
  <c r="W22" i="109"/>
  <c r="W23" i="109"/>
  <c r="W24" i="109"/>
  <c r="W25" i="109"/>
  <c r="W26" i="109"/>
  <c r="W27" i="109"/>
  <c r="W28" i="109"/>
  <c r="W29" i="109"/>
  <c r="W30" i="109"/>
  <c r="W31" i="109"/>
  <c r="W32" i="109"/>
  <c r="W33" i="109"/>
  <c r="W34" i="109"/>
  <c r="W35" i="109"/>
  <c r="W36" i="109"/>
  <c r="V8" i="109"/>
  <c r="V9" i="109"/>
  <c r="V10" i="109"/>
  <c r="V11" i="109"/>
  <c r="V12" i="109"/>
  <c r="V13" i="109"/>
  <c r="V14" i="109"/>
  <c r="V15" i="109"/>
  <c r="V16" i="109"/>
  <c r="V17" i="109"/>
  <c r="V18" i="109"/>
  <c r="V19" i="109"/>
  <c r="V20" i="109"/>
  <c r="V21" i="109"/>
  <c r="V22" i="109"/>
  <c r="V23" i="109"/>
  <c r="V24" i="109"/>
  <c r="V25" i="109"/>
  <c r="V26" i="109"/>
  <c r="V27" i="109"/>
  <c r="V28" i="109"/>
  <c r="V29" i="109"/>
  <c r="V30" i="109"/>
  <c r="V31" i="109"/>
  <c r="V32" i="109"/>
  <c r="V33" i="109"/>
  <c r="V34" i="109"/>
  <c r="V35" i="109"/>
  <c r="V36" i="109"/>
  <c r="U8" i="109"/>
  <c r="U9" i="109"/>
  <c r="U10" i="109"/>
  <c r="U11" i="109"/>
  <c r="U12" i="109"/>
  <c r="U13" i="109"/>
  <c r="U14" i="109"/>
  <c r="U15" i="109"/>
  <c r="U16" i="109"/>
  <c r="U17" i="109"/>
  <c r="U18" i="109"/>
  <c r="U19" i="109"/>
  <c r="U20" i="109"/>
  <c r="U21" i="109"/>
  <c r="U22" i="109"/>
  <c r="U23" i="109"/>
  <c r="U24" i="109"/>
  <c r="U25" i="109"/>
  <c r="U26" i="109"/>
  <c r="U27" i="109"/>
  <c r="U28" i="109"/>
  <c r="U29" i="109"/>
  <c r="U30" i="109"/>
  <c r="U31" i="109"/>
  <c r="U32" i="109"/>
  <c r="U33" i="109"/>
  <c r="U34" i="109"/>
  <c r="U35" i="109"/>
  <c r="U36" i="109"/>
  <c r="T8" i="109"/>
  <c r="T9" i="109"/>
  <c r="T10" i="109"/>
  <c r="T11" i="109"/>
  <c r="T12" i="109"/>
  <c r="T13" i="109"/>
  <c r="T14" i="109"/>
  <c r="T15" i="109"/>
  <c r="T16" i="109"/>
  <c r="T17" i="109"/>
  <c r="T18" i="109"/>
  <c r="T19" i="109"/>
  <c r="T20" i="109"/>
  <c r="T21" i="109"/>
  <c r="T22" i="109"/>
  <c r="T23" i="109"/>
  <c r="T24" i="109"/>
  <c r="T25" i="109"/>
  <c r="T26" i="109"/>
  <c r="T27" i="109"/>
  <c r="T28" i="109"/>
  <c r="T29" i="109"/>
  <c r="T30" i="109"/>
  <c r="T31" i="109"/>
  <c r="T32" i="109"/>
  <c r="T33" i="109"/>
  <c r="T34" i="109"/>
  <c r="T35" i="109"/>
  <c r="T36" i="109"/>
  <c r="T7" i="109"/>
  <c r="W7" i="109"/>
  <c r="V7" i="109"/>
  <c r="U7" i="109"/>
  <c r="W9" i="108"/>
  <c r="W10" i="108"/>
  <c r="W11" i="108"/>
  <c r="W18" i="108"/>
  <c r="W19" i="108"/>
  <c r="W20" i="108"/>
  <c r="W23" i="108"/>
  <c r="W25" i="108"/>
  <c r="W26" i="108"/>
  <c r="W33" i="108"/>
  <c r="W34" i="108"/>
  <c r="W35" i="108"/>
  <c r="W43" i="108"/>
  <c r="W44" i="108"/>
  <c r="W45" i="108"/>
  <c r="W49" i="108"/>
  <c r="W51" i="108"/>
  <c r="W53" i="108"/>
  <c r="W54" i="108"/>
  <c r="W55" i="108"/>
  <c r="W58" i="108"/>
  <c r="W59" i="108"/>
  <c r="W60" i="108"/>
  <c r="W61" i="108"/>
  <c r="W66" i="108"/>
  <c r="W67" i="108"/>
  <c r="V9" i="108"/>
  <c r="V10" i="108"/>
  <c r="V13" i="108"/>
  <c r="V18" i="108"/>
  <c r="V21" i="108"/>
  <c r="V25" i="108"/>
  <c r="V26" i="108"/>
  <c r="V29" i="108"/>
  <c r="V33" i="108"/>
  <c r="V34" i="108"/>
  <c r="V35" i="108"/>
  <c r="V36" i="108"/>
  <c r="V37" i="108"/>
  <c r="V43" i="108"/>
  <c r="V45" i="108"/>
  <c r="V46" i="108"/>
  <c r="V47" i="108"/>
  <c r="V49" i="108"/>
  <c r="V50" i="108"/>
  <c r="V51" i="108"/>
  <c r="V53" i="108"/>
  <c r="V54" i="108"/>
  <c r="V55" i="108"/>
  <c r="V56" i="108"/>
  <c r="V57" i="108"/>
  <c r="V58" i="108"/>
  <c r="V59" i="108"/>
  <c r="V60" i="108"/>
  <c r="V61" i="108"/>
  <c r="V65" i="108"/>
  <c r="V66" i="108"/>
  <c r="V69" i="108"/>
  <c r="U29" i="108"/>
  <c r="U33" i="108"/>
  <c r="U34" i="108"/>
  <c r="U35" i="108"/>
  <c r="U36" i="108"/>
  <c r="U37" i="108"/>
  <c r="U43" i="108"/>
  <c r="U44" i="108"/>
  <c r="U45" i="108"/>
  <c r="U46" i="108"/>
  <c r="U47" i="108"/>
  <c r="U49" i="108"/>
  <c r="U50" i="108"/>
  <c r="U51" i="108"/>
  <c r="U53" i="108"/>
  <c r="U55" i="108"/>
  <c r="U56" i="108"/>
  <c r="U57" i="108"/>
  <c r="U58" i="108"/>
  <c r="U59" i="108"/>
  <c r="U60" i="108"/>
  <c r="U61" i="108"/>
  <c r="U65" i="108"/>
  <c r="U66" i="108"/>
  <c r="U67" i="108"/>
  <c r="U9" i="108"/>
  <c r="U10" i="108"/>
  <c r="U11" i="108"/>
  <c r="U18" i="108"/>
  <c r="U19" i="108"/>
  <c r="U25" i="108"/>
  <c r="U26" i="108"/>
  <c r="B5" i="75"/>
  <c r="K6" i="78"/>
  <c r="K7" i="78"/>
  <c r="K9" i="78"/>
  <c r="K10" i="78"/>
  <c r="K11" i="78"/>
  <c r="K12" i="78"/>
  <c r="K13" i="78"/>
  <c r="K14" i="78"/>
  <c r="K15" i="78"/>
  <c r="K16" i="78"/>
  <c r="K17" i="78"/>
  <c r="K18" i="78"/>
  <c r="K19" i="78"/>
  <c r="K20" i="78"/>
  <c r="K21" i="78"/>
  <c r="K22" i="78"/>
  <c r="K23" i="78"/>
  <c r="K24" i="78"/>
  <c r="K25" i="78"/>
  <c r="K26" i="78"/>
  <c r="K27" i="78"/>
  <c r="K28" i="78"/>
  <c r="K29" i="78"/>
  <c r="K30" i="78"/>
  <c r="K31" i="78"/>
  <c r="K32" i="78"/>
  <c r="K33" i="78"/>
  <c r="K34" i="78"/>
  <c r="K35" i="78"/>
  <c r="K36" i="78"/>
  <c r="K37" i="78"/>
  <c r="K38" i="78"/>
  <c r="K39" i="78"/>
  <c r="K44" i="78"/>
  <c r="K45" i="78"/>
  <c r="K46" i="78"/>
  <c r="K47" i="78"/>
  <c r="K48" i="78"/>
  <c r="K49" i="78"/>
  <c r="K50" i="78"/>
  <c r="K51" i="78"/>
  <c r="K52" i="78"/>
  <c r="K53" i="78"/>
  <c r="K54" i="78"/>
  <c r="K55" i="78"/>
  <c r="K56" i="78"/>
  <c r="K57" i="78"/>
  <c r="K58" i="78"/>
  <c r="K59" i="78"/>
  <c r="K60" i="78"/>
  <c r="K61" i="78"/>
  <c r="K62" i="78"/>
  <c r="K63" i="78"/>
  <c r="K64" i="78"/>
  <c r="K65" i="78"/>
  <c r="K66" i="78"/>
  <c r="K67" i="78"/>
  <c r="K68" i="78"/>
  <c r="K69" i="78"/>
  <c r="K70" i="78"/>
  <c r="K71" i="78"/>
  <c r="K72" i="78"/>
  <c r="K73" i="78"/>
  <c r="K74" i="78"/>
  <c r="K75" i="78"/>
  <c r="K76" i="78"/>
  <c r="K77" i="78"/>
  <c r="K78" i="78"/>
  <c r="K79" i="78"/>
  <c r="K84" i="78"/>
  <c r="K85" i="78"/>
  <c r="K86" i="78"/>
  <c r="K87" i="78"/>
  <c r="K88" i="78"/>
  <c r="K89" i="78"/>
  <c r="K90" i="78"/>
  <c r="K91" i="78"/>
  <c r="K92" i="78"/>
  <c r="K93" i="78"/>
  <c r="K94" i="78"/>
  <c r="K95" i="78"/>
  <c r="K96" i="78"/>
  <c r="K97" i="78"/>
  <c r="K98" i="78"/>
  <c r="K99" i="78"/>
  <c r="K100" i="78"/>
  <c r="K101" i="78"/>
  <c r="K102" i="78"/>
  <c r="K103" i="78"/>
  <c r="K104" i="78"/>
  <c r="K105" i="78"/>
  <c r="K106" i="78"/>
  <c r="K107" i="78"/>
  <c r="K108" i="78"/>
  <c r="K109" i="78"/>
  <c r="K110" i="78"/>
  <c r="K111" i="78"/>
  <c r="K112" i="78"/>
  <c r="K113" i="78"/>
  <c r="K114" i="78"/>
  <c r="K115" i="78"/>
  <c r="K116" i="78"/>
  <c r="K117" i="78"/>
  <c r="K118" i="78"/>
  <c r="K119" i="78"/>
  <c r="K5" i="78"/>
  <c r="K4" i="78"/>
  <c r="I5" i="93"/>
  <c r="I6" i="93"/>
  <c r="L6" i="93" s="1"/>
  <c r="I7" i="93"/>
  <c r="J7" i="93" s="1"/>
  <c r="I8" i="93"/>
  <c r="K8" i="93" s="1"/>
  <c r="I9" i="93"/>
  <c r="L9" i="93" s="1"/>
  <c r="I10" i="93"/>
  <c r="N10" i="93" s="1"/>
  <c r="I11" i="93"/>
  <c r="K11" i="93" s="1"/>
  <c r="I12" i="93"/>
  <c r="L12" i="93" s="1"/>
  <c r="I13" i="93"/>
  <c r="K13" i="93" s="1"/>
  <c r="I14" i="93"/>
  <c r="N14" i="93" s="1"/>
  <c r="I15" i="93"/>
  <c r="M15" i="93" s="1"/>
  <c r="I16" i="93"/>
  <c r="K16" i="93" s="1"/>
  <c r="I17" i="93"/>
  <c r="I18" i="93"/>
  <c r="N18" i="93" s="1"/>
  <c r="I19" i="93"/>
  <c r="O19" i="93" s="1"/>
  <c r="I20" i="93"/>
  <c r="J20" i="93" s="1"/>
  <c r="I21" i="93"/>
  <c r="K21" i="93" s="1"/>
  <c r="I22" i="93"/>
  <c r="J22" i="93" s="1"/>
  <c r="I23" i="93"/>
  <c r="J23" i="93" s="1"/>
  <c r="I24" i="93"/>
  <c r="K24" i="93" s="1"/>
  <c r="I25" i="93"/>
  <c r="L25" i="93" s="1"/>
  <c r="I26" i="93"/>
  <c r="P26" i="93" s="1"/>
  <c r="I27" i="93"/>
  <c r="K27" i="93" s="1"/>
  <c r="I28" i="93"/>
  <c r="P28" i="93" s="1"/>
  <c r="I29" i="93"/>
  <c r="M29" i="93" s="1"/>
  <c r="I30" i="93"/>
  <c r="J30" i="93" s="1"/>
  <c r="I31" i="93"/>
  <c r="M31" i="93" s="1"/>
  <c r="I32" i="93"/>
  <c r="K32" i="93" s="1"/>
  <c r="I33" i="93"/>
  <c r="I34" i="93"/>
  <c r="N34" i="93" s="1"/>
  <c r="I35" i="93"/>
  <c r="K35" i="93" s="1"/>
  <c r="I36" i="93"/>
  <c r="I37" i="93"/>
  <c r="M37" i="93" s="1"/>
  <c r="I38" i="93"/>
  <c r="J38" i="93" s="1"/>
  <c r="I39" i="93"/>
  <c r="J39" i="93" s="1"/>
  <c r="I49" i="93"/>
  <c r="P49" i="93" s="1"/>
  <c r="I50" i="93"/>
  <c r="L50" i="93" s="1"/>
  <c r="I51" i="93"/>
  <c r="N51" i="93" s="1"/>
  <c r="I52" i="93"/>
  <c r="K52" i="93" s="1"/>
  <c r="I53" i="93"/>
  <c r="J53" i="93" s="1"/>
  <c r="I54" i="93"/>
  <c r="M54" i="93" s="1"/>
  <c r="I55" i="93"/>
  <c r="J55" i="93" s="1"/>
  <c r="I56" i="93"/>
  <c r="M56" i="93" s="1"/>
  <c r="I57" i="93"/>
  <c r="K57" i="93" s="1"/>
  <c r="I58" i="93"/>
  <c r="I59" i="93"/>
  <c r="N59" i="93" s="1"/>
  <c r="I60" i="93"/>
  <c r="K60" i="93" s="1"/>
  <c r="I61" i="93"/>
  <c r="L61" i="93" s="1"/>
  <c r="I62" i="93"/>
  <c r="K62" i="93" s="1"/>
  <c r="I63" i="93"/>
  <c r="J63" i="93" s="1"/>
  <c r="I64" i="93"/>
  <c r="J64" i="93" s="1"/>
  <c r="I65" i="93"/>
  <c r="K65" i="93" s="1"/>
  <c r="I66" i="93"/>
  <c r="L66" i="93" s="1"/>
  <c r="I67" i="93"/>
  <c r="N67" i="93" s="1"/>
  <c r="I68" i="93"/>
  <c r="K68" i="93" s="1"/>
  <c r="I69" i="93"/>
  <c r="L69" i="93" s="1"/>
  <c r="I70" i="93"/>
  <c r="M70" i="93" s="1"/>
  <c r="I71" i="93"/>
  <c r="L71" i="93" s="1"/>
  <c r="I72" i="93"/>
  <c r="M72" i="93" s="1"/>
  <c r="I73" i="93"/>
  <c r="K73" i="93" s="1"/>
  <c r="I74" i="93"/>
  <c r="I75" i="93"/>
  <c r="N75" i="93" s="1"/>
  <c r="I76" i="93"/>
  <c r="K76" i="93" s="1"/>
  <c r="I77" i="93"/>
  <c r="J77" i="93" s="1"/>
  <c r="I78" i="93"/>
  <c r="P78" i="93" s="1"/>
  <c r="I79" i="93"/>
  <c r="J79" i="93" s="1"/>
  <c r="I80" i="93"/>
  <c r="O80" i="93" s="1"/>
  <c r="I81" i="93"/>
  <c r="K81" i="93" s="1"/>
  <c r="I82" i="93"/>
  <c r="I83" i="93"/>
  <c r="M83" i="93" s="1"/>
  <c r="I84" i="93"/>
  <c r="K84" i="93" s="1"/>
  <c r="I94" i="93"/>
  <c r="L94" i="93" s="1"/>
  <c r="I95" i="93"/>
  <c r="K95" i="93" s="1"/>
  <c r="I96" i="93"/>
  <c r="O96" i="93" s="1"/>
  <c r="I97" i="93"/>
  <c r="L97" i="93" s="1"/>
  <c r="I98" i="93"/>
  <c r="O98" i="93" s="1"/>
  <c r="I99" i="93"/>
  <c r="J99" i="93" s="1"/>
  <c r="I100" i="93"/>
  <c r="N100" i="93" s="1"/>
  <c r="I101" i="93"/>
  <c r="J101" i="93" s="1"/>
  <c r="I102" i="93"/>
  <c r="N102" i="93" s="1"/>
  <c r="I103" i="93"/>
  <c r="L103" i="93" s="1"/>
  <c r="I104" i="93"/>
  <c r="M104" i="93" s="1"/>
  <c r="I105" i="93"/>
  <c r="L105" i="93" s="1"/>
  <c r="I106" i="93"/>
  <c r="L106" i="93" s="1"/>
  <c r="I107" i="93"/>
  <c r="J107" i="93" s="1"/>
  <c r="I108" i="93"/>
  <c r="M108" i="93" s="1"/>
  <c r="I109" i="93"/>
  <c r="K109" i="93" s="1"/>
  <c r="I110" i="93"/>
  <c r="N110" i="93" s="1"/>
  <c r="I111" i="93"/>
  <c r="M111" i="93" s="1"/>
  <c r="I112" i="93"/>
  <c r="J112" i="93" s="1"/>
  <c r="I113" i="93"/>
  <c r="L113" i="93" s="1"/>
  <c r="I114" i="93"/>
  <c r="M114" i="93" s="1"/>
  <c r="I115" i="93"/>
  <c r="N115" i="93" s="1"/>
  <c r="I116" i="93"/>
  <c r="O116" i="93" s="1"/>
  <c r="I117" i="93"/>
  <c r="P117" i="93" s="1"/>
  <c r="I118" i="93"/>
  <c r="N118" i="93" s="1"/>
  <c r="I119" i="93"/>
  <c r="J119" i="93" s="1"/>
  <c r="I120" i="93"/>
  <c r="J120" i="93" s="1"/>
  <c r="I121" i="93"/>
  <c r="K121" i="93" s="1"/>
  <c r="I122" i="93"/>
  <c r="L122" i="93" s="1"/>
  <c r="I123" i="93"/>
  <c r="L123" i="93" s="1"/>
  <c r="I124" i="93"/>
  <c r="M124" i="93" s="1"/>
  <c r="I125" i="93"/>
  <c r="N125" i="93" s="1"/>
  <c r="I126" i="93"/>
  <c r="O126" i="93" s="1"/>
  <c r="I127" i="93"/>
  <c r="P127" i="93" s="1"/>
  <c r="I128" i="93"/>
  <c r="J128" i="93" s="1"/>
  <c r="I129" i="93"/>
  <c r="K129" i="93" s="1"/>
  <c r="I4" i="93"/>
  <c r="K4" i="93" s="1"/>
  <c r="P6" i="40"/>
  <c r="P10" i="40"/>
  <c r="P15" i="40"/>
  <c r="P19" i="40"/>
  <c r="P20" i="40"/>
  <c r="P21" i="40"/>
  <c r="P22" i="40"/>
  <c r="P23" i="40"/>
  <c r="P24" i="40"/>
  <c r="P25" i="40"/>
  <c r="P26" i="40"/>
  <c r="P27" i="40"/>
  <c r="P28" i="40"/>
  <c r="P29" i="40"/>
  <c r="P30" i="40"/>
  <c r="P31" i="40"/>
  <c r="P32" i="40"/>
  <c r="P33" i="40"/>
  <c r="P34" i="40"/>
  <c r="P35" i="40"/>
  <c r="O6" i="40"/>
  <c r="O7" i="40"/>
  <c r="P7" i="40" s="1"/>
  <c r="O8" i="40"/>
  <c r="P8" i="40" s="1"/>
  <c r="O9" i="40"/>
  <c r="P9" i="40" s="1"/>
  <c r="O10" i="40"/>
  <c r="O11" i="40"/>
  <c r="P11" i="40" s="1"/>
  <c r="O12" i="40"/>
  <c r="P12" i="40" s="1"/>
  <c r="O13" i="40"/>
  <c r="P13" i="40" s="1"/>
  <c r="O14" i="40"/>
  <c r="P14" i="40" s="1"/>
  <c r="O15" i="40"/>
  <c r="O16" i="40"/>
  <c r="P16" i="40" s="1"/>
  <c r="O17" i="40"/>
  <c r="P17" i="40" s="1"/>
  <c r="O18" i="40"/>
  <c r="P18" i="40" s="1"/>
  <c r="O19" i="40"/>
  <c r="O20" i="40"/>
  <c r="O21" i="40"/>
  <c r="O22" i="40"/>
  <c r="O23" i="40"/>
  <c r="O24" i="40"/>
  <c r="O25" i="40"/>
  <c r="O26" i="40"/>
  <c r="O27" i="40"/>
  <c r="O28" i="40"/>
  <c r="O29" i="40"/>
  <c r="O30" i="40"/>
  <c r="O31" i="40"/>
  <c r="O32" i="40"/>
  <c r="O33" i="40"/>
  <c r="O34" i="40"/>
  <c r="O35" i="40"/>
  <c r="O5" i="40"/>
  <c r="P5" i="40" s="1"/>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1" i="14"/>
  <c r="AC42" i="14"/>
  <c r="AC43" i="14"/>
  <c r="AC44" i="14"/>
  <c r="AC45" i="14"/>
  <c r="AC46" i="14"/>
  <c r="AC47" i="14"/>
  <c r="AC48" i="14"/>
  <c r="AC49" i="14"/>
  <c r="AC50" i="14"/>
  <c r="AC51" i="14"/>
  <c r="AC52" i="14"/>
  <c r="AC53" i="14"/>
  <c r="AC54" i="14"/>
  <c r="AC55" i="14"/>
  <c r="AC56" i="14"/>
  <c r="AC57" i="14"/>
  <c r="AC58" i="14"/>
  <c r="AC59"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89" i="14"/>
  <c r="AC90" i="14"/>
  <c r="AC91" i="14"/>
  <c r="AC92" i="14"/>
  <c r="AC93" i="14"/>
  <c r="AC94" i="14"/>
  <c r="AC95" i="14"/>
  <c r="AC96" i="14"/>
  <c r="AC97" i="14"/>
  <c r="AC98" i="14"/>
  <c r="AC99" i="14"/>
  <c r="AC100" i="14"/>
  <c r="AC101" i="14"/>
  <c r="AC102" i="14"/>
  <c r="AC103" i="14"/>
  <c r="AC104" i="14"/>
  <c r="AC105" i="14"/>
  <c r="AC106" i="14"/>
  <c r="AC107" i="14"/>
  <c r="AC108" i="14"/>
  <c r="AC109" i="14"/>
  <c r="AC110" i="14"/>
  <c r="AC111" i="14"/>
  <c r="AC112" i="14"/>
  <c r="AC113" i="14"/>
  <c r="AC114" i="14"/>
  <c r="AC115" i="14"/>
  <c r="AC116" i="14"/>
  <c r="AC117" i="14"/>
  <c r="AC118" i="14"/>
  <c r="AC119" i="14"/>
  <c r="AC120" i="14"/>
  <c r="AC121" i="14"/>
  <c r="AC122" i="14"/>
  <c r="AC123" i="14"/>
  <c r="AC124" i="14"/>
  <c r="AC125" i="14"/>
  <c r="AC126" i="14"/>
  <c r="AC127" i="14"/>
  <c r="AC128" i="14"/>
  <c r="AC129" i="14"/>
  <c r="AC130" i="14"/>
  <c r="AC131" i="14"/>
  <c r="AC132" i="14"/>
  <c r="AC133" i="14"/>
  <c r="AC134" i="14"/>
  <c r="AC135" i="14"/>
  <c r="AC136" i="14"/>
  <c r="AC137" i="14"/>
  <c r="AC138" i="14"/>
  <c r="AC139" i="14"/>
  <c r="AC140" i="14"/>
  <c r="AC141" i="14"/>
  <c r="AC142" i="14"/>
  <c r="AC143" i="14"/>
  <c r="AC144" i="14"/>
  <c r="AC145" i="14"/>
  <c r="AC146" i="14"/>
  <c r="AC147" i="14"/>
  <c r="AC148" i="14"/>
  <c r="AC149" i="14"/>
  <c r="AC150" i="14"/>
  <c r="AC151" i="14"/>
  <c r="AC152" i="14"/>
  <c r="AC153" i="14"/>
  <c r="AC154" i="14"/>
  <c r="AC155" i="14"/>
  <c r="AC156" i="14"/>
  <c r="AC157" i="14"/>
  <c r="AC158" i="14"/>
  <c r="AC159" i="14"/>
  <c r="AC160" i="14"/>
  <c r="AC161" i="14"/>
  <c r="AC162" i="14"/>
  <c r="AC163" i="14"/>
  <c r="AC164" i="14"/>
  <c r="AC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Z60"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102" i="14"/>
  <c r="Z103" i="14"/>
  <c r="Z104" i="14"/>
  <c r="Z105" i="14"/>
  <c r="Z106" i="14"/>
  <c r="Z107" i="14"/>
  <c r="Z108" i="14"/>
  <c r="Z109" i="14"/>
  <c r="Z110" i="14"/>
  <c r="Z111" i="14"/>
  <c r="Z112" i="14"/>
  <c r="Z113" i="14"/>
  <c r="Z114" i="14"/>
  <c r="Z115" i="14"/>
  <c r="Z116" i="14"/>
  <c r="Z117" i="14"/>
  <c r="Z118" i="14"/>
  <c r="Z119" i="14"/>
  <c r="Z120" i="14"/>
  <c r="Z121" i="14"/>
  <c r="Z122" i="14"/>
  <c r="Z123" i="14"/>
  <c r="Z124" i="14"/>
  <c r="Z125" i="14"/>
  <c r="Z126" i="14"/>
  <c r="Z127" i="14"/>
  <c r="Z128" i="14"/>
  <c r="Z129" i="14"/>
  <c r="Z130" i="14"/>
  <c r="Z131" i="14"/>
  <c r="Z132" i="14"/>
  <c r="Z133" i="14"/>
  <c r="Z134" i="14"/>
  <c r="Z135" i="14"/>
  <c r="Z136" i="14"/>
  <c r="Z137" i="14"/>
  <c r="Z138" i="14"/>
  <c r="Z139" i="14"/>
  <c r="Z140" i="14"/>
  <c r="Z141" i="14"/>
  <c r="Z142" i="14"/>
  <c r="Z143" i="14"/>
  <c r="Z144" i="14"/>
  <c r="Z145" i="14"/>
  <c r="Z146" i="14"/>
  <c r="Z147" i="14"/>
  <c r="Z148" i="14"/>
  <c r="Z149" i="14"/>
  <c r="Z150" i="14"/>
  <c r="Z151" i="14"/>
  <c r="Z152" i="14"/>
  <c r="Z153" i="14"/>
  <c r="Z154" i="14"/>
  <c r="Z155" i="14"/>
  <c r="Z156" i="14"/>
  <c r="Z157" i="14"/>
  <c r="Z158" i="14"/>
  <c r="Z159" i="14"/>
  <c r="Z160" i="14"/>
  <c r="Z161" i="14"/>
  <c r="Z162" i="14"/>
  <c r="Z163" i="14"/>
  <c r="Z164" i="14"/>
  <c r="Z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W40" i="14"/>
  <c r="W41" i="14"/>
  <c r="W42" i="14"/>
  <c r="W43" i="14"/>
  <c r="W44" i="14"/>
  <c r="W45" i="14"/>
  <c r="W46" i="14"/>
  <c r="W47" i="14"/>
  <c r="W48" i="14"/>
  <c r="W49" i="14"/>
  <c r="W50" i="14"/>
  <c r="W51" i="14"/>
  <c r="W52" i="14"/>
  <c r="W53" i="14"/>
  <c r="W54" i="14"/>
  <c r="W55" i="14"/>
  <c r="W56" i="14"/>
  <c r="W57" i="14"/>
  <c r="W58" i="14"/>
  <c r="W59" i="14"/>
  <c r="W60" i="14"/>
  <c r="W61" i="14"/>
  <c r="W62" i="14"/>
  <c r="W63" i="14"/>
  <c r="W64" i="14"/>
  <c r="W65" i="14"/>
  <c r="W66" i="14"/>
  <c r="W67" i="14"/>
  <c r="W68" i="14"/>
  <c r="W69" i="14"/>
  <c r="W70" i="14"/>
  <c r="W71" i="14"/>
  <c r="W72" i="14"/>
  <c r="W73" i="14"/>
  <c r="W74" i="14"/>
  <c r="W75" i="14"/>
  <c r="W76" i="14"/>
  <c r="W77" i="14"/>
  <c r="W78" i="14"/>
  <c r="W79" i="14"/>
  <c r="W80" i="14"/>
  <c r="W81" i="14"/>
  <c r="W82" i="14"/>
  <c r="W83" i="14"/>
  <c r="W84" i="14"/>
  <c r="W85" i="14"/>
  <c r="W86" i="14"/>
  <c r="W87" i="14"/>
  <c r="W88" i="14"/>
  <c r="W89" i="14"/>
  <c r="W90" i="14"/>
  <c r="W91" i="14"/>
  <c r="W92" i="14"/>
  <c r="W93" i="14"/>
  <c r="W94" i="14"/>
  <c r="W95" i="14"/>
  <c r="W96" i="14"/>
  <c r="W97" i="14"/>
  <c r="W98" i="14"/>
  <c r="W99" i="14"/>
  <c r="W100" i="14"/>
  <c r="W101" i="14"/>
  <c r="W102" i="14"/>
  <c r="W103" i="14"/>
  <c r="W104" i="14"/>
  <c r="W105" i="14"/>
  <c r="W106" i="14"/>
  <c r="W107" i="14"/>
  <c r="W108" i="14"/>
  <c r="W109" i="14"/>
  <c r="W110" i="14"/>
  <c r="W111" i="14"/>
  <c r="W112" i="14"/>
  <c r="W113" i="14"/>
  <c r="W114" i="14"/>
  <c r="W115" i="14"/>
  <c r="W116" i="14"/>
  <c r="W117" i="14"/>
  <c r="W118" i="14"/>
  <c r="W119" i="14"/>
  <c r="W120" i="14"/>
  <c r="W121" i="14"/>
  <c r="W122" i="14"/>
  <c r="W123" i="14"/>
  <c r="W124" i="14"/>
  <c r="W125" i="14"/>
  <c r="W126" i="14"/>
  <c r="W127" i="14"/>
  <c r="W128" i="14"/>
  <c r="W129" i="14"/>
  <c r="W130" i="14"/>
  <c r="W131" i="14"/>
  <c r="W132" i="14"/>
  <c r="W133" i="14"/>
  <c r="W134" i="14"/>
  <c r="W135" i="14"/>
  <c r="W136" i="14"/>
  <c r="W137" i="14"/>
  <c r="W138" i="14"/>
  <c r="W139" i="14"/>
  <c r="W140" i="14"/>
  <c r="W141" i="14"/>
  <c r="W142" i="14"/>
  <c r="W143" i="14"/>
  <c r="W144" i="14"/>
  <c r="W145" i="14"/>
  <c r="W146" i="14"/>
  <c r="W147" i="14"/>
  <c r="W148" i="14"/>
  <c r="W149" i="14"/>
  <c r="W150" i="14"/>
  <c r="W151" i="14"/>
  <c r="W152" i="14"/>
  <c r="W153" i="14"/>
  <c r="W154" i="14"/>
  <c r="W155" i="14"/>
  <c r="W156" i="14"/>
  <c r="W157" i="14"/>
  <c r="W158" i="14"/>
  <c r="W159" i="14"/>
  <c r="W160" i="14"/>
  <c r="W161" i="14"/>
  <c r="W162" i="14"/>
  <c r="W163" i="14"/>
  <c r="W164" i="14"/>
  <c r="W5"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7" i="14"/>
  <c r="T6" i="14"/>
  <c r="T5" i="14"/>
  <c r="O8" i="109"/>
  <c r="P8" i="109"/>
  <c r="Q8" i="109"/>
  <c r="R8" i="109"/>
  <c r="S8" i="109"/>
  <c r="O9" i="109"/>
  <c r="P9" i="109"/>
  <c r="Q9" i="109"/>
  <c r="R9" i="109"/>
  <c r="S9" i="109"/>
  <c r="O10" i="109"/>
  <c r="P10" i="109"/>
  <c r="Q10" i="109"/>
  <c r="R10" i="109"/>
  <c r="S10" i="109"/>
  <c r="O11" i="109"/>
  <c r="P11" i="109"/>
  <c r="Q11" i="109"/>
  <c r="R11" i="109"/>
  <c r="S11" i="109"/>
  <c r="O12" i="109"/>
  <c r="P12" i="109"/>
  <c r="Q12" i="109"/>
  <c r="R12" i="109"/>
  <c r="S12" i="109"/>
  <c r="O13" i="109"/>
  <c r="P13" i="109"/>
  <c r="Q13" i="109"/>
  <c r="R13" i="109"/>
  <c r="S13" i="109"/>
  <c r="O14" i="109"/>
  <c r="P14" i="109"/>
  <c r="Q14" i="109"/>
  <c r="R14" i="109"/>
  <c r="S14" i="109"/>
  <c r="O15" i="109"/>
  <c r="P15" i="109"/>
  <c r="Q15" i="109"/>
  <c r="R15" i="109"/>
  <c r="S15" i="109"/>
  <c r="O16" i="109"/>
  <c r="P16" i="109"/>
  <c r="Q16" i="109"/>
  <c r="R16" i="109"/>
  <c r="S16" i="109"/>
  <c r="O17" i="109"/>
  <c r="P17" i="109"/>
  <c r="Q17" i="109"/>
  <c r="R17" i="109"/>
  <c r="S17" i="109"/>
  <c r="O18" i="109"/>
  <c r="P18" i="109"/>
  <c r="Q18" i="109"/>
  <c r="R18" i="109"/>
  <c r="S18" i="109"/>
  <c r="O19" i="109"/>
  <c r="P19" i="109"/>
  <c r="Q19" i="109"/>
  <c r="R19" i="109"/>
  <c r="S19" i="109"/>
  <c r="O20" i="109"/>
  <c r="P20" i="109"/>
  <c r="Q20" i="109"/>
  <c r="R20" i="109"/>
  <c r="S20" i="109"/>
  <c r="O21" i="109"/>
  <c r="P21" i="109"/>
  <c r="Q21" i="109"/>
  <c r="R21" i="109"/>
  <c r="S21" i="109"/>
  <c r="O22" i="109"/>
  <c r="P22" i="109"/>
  <c r="Q22" i="109"/>
  <c r="R22" i="109"/>
  <c r="S22" i="109"/>
  <c r="O23" i="109"/>
  <c r="P23" i="109"/>
  <c r="Q23" i="109"/>
  <c r="R23" i="109"/>
  <c r="S23" i="109"/>
  <c r="O24" i="109"/>
  <c r="P24" i="109"/>
  <c r="Q24" i="109"/>
  <c r="R24" i="109"/>
  <c r="S24" i="109"/>
  <c r="O25" i="109"/>
  <c r="P25" i="109"/>
  <c r="Q25" i="109"/>
  <c r="R25" i="109"/>
  <c r="S25" i="109"/>
  <c r="O26" i="109"/>
  <c r="P26" i="109"/>
  <c r="Q26" i="109"/>
  <c r="R26" i="109"/>
  <c r="S26" i="109"/>
  <c r="O27" i="109"/>
  <c r="P27" i="109"/>
  <c r="Q27" i="109"/>
  <c r="R27" i="109"/>
  <c r="S27" i="109"/>
  <c r="O28" i="109"/>
  <c r="P28" i="109"/>
  <c r="Q28" i="109"/>
  <c r="R28" i="109"/>
  <c r="S28" i="109"/>
  <c r="O29" i="109"/>
  <c r="P29" i="109"/>
  <c r="Q29" i="109"/>
  <c r="R29" i="109"/>
  <c r="S29" i="109"/>
  <c r="O30" i="109"/>
  <c r="P30" i="109"/>
  <c r="Q30" i="109"/>
  <c r="R30" i="109"/>
  <c r="S30" i="109"/>
  <c r="O31" i="109"/>
  <c r="P31" i="109"/>
  <c r="Q31" i="109"/>
  <c r="R31" i="109"/>
  <c r="S31" i="109"/>
  <c r="O32" i="109"/>
  <c r="P32" i="109"/>
  <c r="Q32" i="109"/>
  <c r="R32" i="109"/>
  <c r="S32" i="109"/>
  <c r="O33" i="109"/>
  <c r="P33" i="109"/>
  <c r="Q33" i="109"/>
  <c r="R33" i="109"/>
  <c r="S33" i="109"/>
  <c r="O34" i="109"/>
  <c r="P34" i="109"/>
  <c r="Q34" i="109"/>
  <c r="R34" i="109"/>
  <c r="S34" i="109"/>
  <c r="O35" i="109"/>
  <c r="P35" i="109"/>
  <c r="Q35" i="109"/>
  <c r="R35" i="109"/>
  <c r="S35" i="109"/>
  <c r="O36" i="109"/>
  <c r="P36" i="109"/>
  <c r="Q36" i="109"/>
  <c r="R36" i="109"/>
  <c r="S36" i="109"/>
  <c r="P7" i="109"/>
  <c r="Q7" i="109"/>
  <c r="R7" i="109"/>
  <c r="S7" i="109"/>
  <c r="O7" i="109"/>
  <c r="O9" i="108"/>
  <c r="O10" i="108"/>
  <c r="O11" i="108"/>
  <c r="O12" i="108"/>
  <c r="O13" i="108"/>
  <c r="O14" i="108"/>
  <c r="O15" i="108"/>
  <c r="O16" i="108"/>
  <c r="O18" i="108"/>
  <c r="O19" i="108"/>
  <c r="O20" i="108"/>
  <c r="O21" i="108"/>
  <c r="O23" i="108"/>
  <c r="O24" i="108"/>
  <c r="O25" i="108"/>
  <c r="O26" i="108"/>
  <c r="O29" i="108"/>
  <c r="O30" i="108"/>
  <c r="O31" i="108"/>
  <c r="O32" i="108"/>
  <c r="O33" i="108"/>
  <c r="O34" i="108"/>
  <c r="O35" i="108"/>
  <c r="O36" i="108"/>
  <c r="O37" i="108"/>
  <c r="O38" i="108"/>
  <c r="O39" i="108"/>
  <c r="O40" i="108"/>
  <c r="O43" i="108"/>
  <c r="O44" i="108"/>
  <c r="O45" i="108"/>
  <c r="O46" i="108"/>
  <c r="O47" i="108"/>
  <c r="O48" i="108"/>
  <c r="O49" i="108"/>
  <c r="O50" i="108"/>
  <c r="O51" i="108"/>
  <c r="O53" i="108"/>
  <c r="O54" i="108"/>
  <c r="O55" i="108"/>
  <c r="O56" i="108"/>
  <c r="O57" i="108"/>
  <c r="O58" i="108"/>
  <c r="O59" i="108"/>
  <c r="O60" i="108"/>
  <c r="O61" i="108"/>
  <c r="O63" i="108"/>
  <c r="O64" i="108"/>
  <c r="O65" i="108"/>
  <c r="O66" i="108"/>
  <c r="O67" i="108"/>
  <c r="O68" i="108"/>
  <c r="O69" i="108"/>
  <c r="O70" i="108"/>
  <c r="O71" i="108"/>
  <c r="O8" i="108"/>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K5" i="2"/>
  <c r="J5" i="2"/>
  <c r="J119" i="78"/>
  <c r="I119" i="78"/>
  <c r="H119" i="78"/>
  <c r="G119" i="78"/>
  <c r="J118" i="78"/>
  <c r="I118" i="78"/>
  <c r="H118" i="78"/>
  <c r="G118" i="78"/>
  <c r="J117" i="78"/>
  <c r="I117" i="78"/>
  <c r="H117" i="78"/>
  <c r="G117" i="78"/>
  <c r="J116" i="78"/>
  <c r="I116" i="78"/>
  <c r="H116" i="78"/>
  <c r="G116" i="78"/>
  <c r="J115" i="78"/>
  <c r="I115" i="78"/>
  <c r="H115" i="78"/>
  <c r="G115" i="78"/>
  <c r="J114" i="78"/>
  <c r="I114" i="78"/>
  <c r="H114" i="78"/>
  <c r="G114" i="78"/>
  <c r="J113" i="78"/>
  <c r="I113" i="78"/>
  <c r="H113" i="78"/>
  <c r="G113" i="78"/>
  <c r="J112" i="78"/>
  <c r="I112" i="78"/>
  <c r="H112" i="78"/>
  <c r="G112" i="78"/>
  <c r="J111" i="78"/>
  <c r="I111" i="78"/>
  <c r="H111" i="78"/>
  <c r="G111" i="78"/>
  <c r="J110" i="78"/>
  <c r="I110" i="78"/>
  <c r="H110" i="78"/>
  <c r="G110" i="78"/>
  <c r="J109" i="78"/>
  <c r="I109" i="78"/>
  <c r="H109" i="78"/>
  <c r="G109" i="78"/>
  <c r="J108" i="78"/>
  <c r="I108" i="78"/>
  <c r="H108" i="78"/>
  <c r="G108" i="78"/>
  <c r="J107" i="78"/>
  <c r="I107" i="78"/>
  <c r="H107" i="78"/>
  <c r="G107" i="78"/>
  <c r="J106" i="78"/>
  <c r="I106" i="78"/>
  <c r="H106" i="78"/>
  <c r="G106" i="78"/>
  <c r="J105" i="78"/>
  <c r="I105" i="78"/>
  <c r="H105" i="78"/>
  <c r="G105" i="78"/>
  <c r="J104" i="78"/>
  <c r="I104" i="78"/>
  <c r="H104" i="78"/>
  <c r="G104" i="78"/>
  <c r="J103" i="78"/>
  <c r="I103" i="78"/>
  <c r="H103" i="78"/>
  <c r="G103" i="78"/>
  <c r="J102" i="78"/>
  <c r="I102" i="78"/>
  <c r="H102" i="78"/>
  <c r="G102" i="78"/>
  <c r="J101" i="78"/>
  <c r="I101" i="78"/>
  <c r="H101" i="78"/>
  <c r="G101" i="78"/>
  <c r="J100" i="78"/>
  <c r="I100" i="78"/>
  <c r="H100" i="78"/>
  <c r="G100" i="78"/>
  <c r="J99" i="78"/>
  <c r="I99" i="78"/>
  <c r="H99" i="78"/>
  <c r="G99" i="78"/>
  <c r="J98" i="78"/>
  <c r="I98" i="78"/>
  <c r="H98" i="78"/>
  <c r="G98" i="78"/>
  <c r="J97" i="78"/>
  <c r="I97" i="78"/>
  <c r="H97" i="78"/>
  <c r="G97" i="78"/>
  <c r="J96" i="78"/>
  <c r="I96" i="78"/>
  <c r="H96" i="78"/>
  <c r="G96" i="78"/>
  <c r="J95" i="78"/>
  <c r="I95" i="78"/>
  <c r="H95" i="78"/>
  <c r="G95" i="78"/>
  <c r="J94" i="78"/>
  <c r="I94" i="78"/>
  <c r="H94" i="78"/>
  <c r="G94" i="78"/>
  <c r="J93" i="78"/>
  <c r="I93" i="78"/>
  <c r="H93" i="78"/>
  <c r="G93" i="78"/>
  <c r="J92" i="78"/>
  <c r="I92" i="78"/>
  <c r="H92" i="78"/>
  <c r="G92" i="78"/>
  <c r="J91" i="78"/>
  <c r="I91" i="78"/>
  <c r="H91" i="78"/>
  <c r="G91" i="78"/>
  <c r="J90" i="78"/>
  <c r="I90" i="78"/>
  <c r="H90" i="78"/>
  <c r="G90" i="78"/>
  <c r="J89" i="78"/>
  <c r="I89" i="78"/>
  <c r="H89" i="78"/>
  <c r="G89" i="78"/>
  <c r="J88" i="78"/>
  <c r="I88" i="78"/>
  <c r="H88" i="78"/>
  <c r="G88" i="78"/>
  <c r="J87" i="78"/>
  <c r="I87" i="78"/>
  <c r="H87" i="78"/>
  <c r="G87" i="78"/>
  <c r="J86" i="78"/>
  <c r="I86" i="78"/>
  <c r="H86" i="78"/>
  <c r="G86" i="78"/>
  <c r="J85" i="78"/>
  <c r="I85" i="78"/>
  <c r="H85" i="78"/>
  <c r="G85" i="78"/>
  <c r="J84" i="78"/>
  <c r="I84" i="78"/>
  <c r="H84" i="78"/>
  <c r="G84" i="78"/>
  <c r="J79" i="78"/>
  <c r="I79" i="78"/>
  <c r="H79" i="78"/>
  <c r="G79" i="78"/>
  <c r="J78" i="78"/>
  <c r="I78" i="78"/>
  <c r="H78" i="78"/>
  <c r="G78" i="78"/>
  <c r="J77" i="78"/>
  <c r="I77" i="78"/>
  <c r="H77" i="78"/>
  <c r="G77" i="78"/>
  <c r="J76" i="78"/>
  <c r="I76" i="78"/>
  <c r="H76" i="78"/>
  <c r="G76" i="78"/>
  <c r="J75" i="78"/>
  <c r="I75" i="78"/>
  <c r="H75" i="78"/>
  <c r="G75" i="78"/>
  <c r="J74" i="78"/>
  <c r="I74" i="78"/>
  <c r="H74" i="78"/>
  <c r="G74" i="78"/>
  <c r="J73" i="78"/>
  <c r="I73" i="78"/>
  <c r="H73" i="78"/>
  <c r="G73" i="78"/>
  <c r="J72" i="78"/>
  <c r="I72" i="78"/>
  <c r="H72" i="78"/>
  <c r="G72" i="78"/>
  <c r="J71" i="78"/>
  <c r="I71" i="78"/>
  <c r="H71" i="78"/>
  <c r="G71" i="78"/>
  <c r="J70" i="78"/>
  <c r="I70" i="78"/>
  <c r="H70" i="78"/>
  <c r="G70" i="78"/>
  <c r="J69" i="78"/>
  <c r="I69" i="78"/>
  <c r="H69" i="78"/>
  <c r="G69" i="78"/>
  <c r="J68" i="78"/>
  <c r="I68" i="78"/>
  <c r="H68" i="78"/>
  <c r="G68" i="78"/>
  <c r="J67" i="78"/>
  <c r="I67" i="78"/>
  <c r="H67" i="78"/>
  <c r="G67" i="78"/>
  <c r="J66" i="78"/>
  <c r="I66" i="78"/>
  <c r="H66" i="78"/>
  <c r="G66" i="78"/>
  <c r="J65" i="78"/>
  <c r="I65" i="78"/>
  <c r="H65" i="78"/>
  <c r="G65" i="78"/>
  <c r="J64" i="78"/>
  <c r="I64" i="78"/>
  <c r="H64" i="78"/>
  <c r="G64" i="78"/>
  <c r="J63" i="78"/>
  <c r="I63" i="78"/>
  <c r="H63" i="78"/>
  <c r="G63" i="78"/>
  <c r="J62" i="78"/>
  <c r="I62" i="78"/>
  <c r="H62" i="78"/>
  <c r="G62" i="78"/>
  <c r="J61" i="78"/>
  <c r="I61" i="78"/>
  <c r="H61" i="78"/>
  <c r="G61" i="78"/>
  <c r="J60" i="78"/>
  <c r="I60" i="78"/>
  <c r="H60" i="78"/>
  <c r="G60" i="78"/>
  <c r="J59" i="78"/>
  <c r="I59" i="78"/>
  <c r="H59" i="78"/>
  <c r="G59" i="78"/>
  <c r="J58" i="78"/>
  <c r="I58" i="78"/>
  <c r="H58" i="78"/>
  <c r="G58" i="78"/>
  <c r="J57" i="78"/>
  <c r="I57" i="78"/>
  <c r="H57" i="78"/>
  <c r="G57" i="78"/>
  <c r="J56" i="78"/>
  <c r="I56" i="78"/>
  <c r="H56" i="78"/>
  <c r="G56" i="78"/>
  <c r="J55" i="78"/>
  <c r="I55" i="78"/>
  <c r="H55" i="78"/>
  <c r="G55" i="78"/>
  <c r="J54" i="78"/>
  <c r="I54" i="78"/>
  <c r="H54" i="78"/>
  <c r="G54" i="78"/>
  <c r="J53" i="78"/>
  <c r="I53" i="78"/>
  <c r="H53" i="78"/>
  <c r="G53" i="78"/>
  <c r="J52" i="78"/>
  <c r="I52" i="78"/>
  <c r="H52" i="78"/>
  <c r="G52" i="78"/>
  <c r="J51" i="78"/>
  <c r="I51" i="78"/>
  <c r="H51" i="78"/>
  <c r="G51" i="78"/>
  <c r="J50" i="78"/>
  <c r="I50" i="78"/>
  <c r="H50" i="78"/>
  <c r="G50" i="78"/>
  <c r="J49" i="78"/>
  <c r="I49" i="78"/>
  <c r="H49" i="78"/>
  <c r="G49" i="78"/>
  <c r="J48" i="78"/>
  <c r="I48" i="78"/>
  <c r="H48" i="78"/>
  <c r="G48" i="78"/>
  <c r="J47" i="78"/>
  <c r="I47" i="78"/>
  <c r="H47" i="78"/>
  <c r="G47" i="78"/>
  <c r="J46" i="78"/>
  <c r="I46" i="78"/>
  <c r="H46" i="78"/>
  <c r="G46" i="78"/>
  <c r="N196" i="41"/>
  <c r="M196" i="41"/>
  <c r="L196" i="41"/>
  <c r="K196" i="41"/>
  <c r="J196" i="41"/>
  <c r="I196" i="41"/>
  <c r="N195" i="41"/>
  <c r="M195" i="41"/>
  <c r="L195" i="41"/>
  <c r="K195" i="41"/>
  <c r="J195" i="41"/>
  <c r="I195" i="41"/>
  <c r="N194" i="41"/>
  <c r="M194" i="41"/>
  <c r="L194" i="41"/>
  <c r="K194" i="41"/>
  <c r="J194" i="41"/>
  <c r="I194" i="41"/>
  <c r="N193" i="41"/>
  <c r="M193" i="41"/>
  <c r="L193" i="41"/>
  <c r="K193" i="41"/>
  <c r="J193" i="41"/>
  <c r="I193" i="41"/>
  <c r="N192" i="41"/>
  <c r="M192" i="41"/>
  <c r="L192" i="41"/>
  <c r="K192" i="41"/>
  <c r="J192" i="41"/>
  <c r="I192" i="41"/>
  <c r="N191" i="41"/>
  <c r="M191" i="41"/>
  <c r="L191" i="41"/>
  <c r="K191" i="41"/>
  <c r="J191" i="41"/>
  <c r="I191" i="41"/>
  <c r="N190" i="41"/>
  <c r="M190" i="41"/>
  <c r="L190" i="41"/>
  <c r="K190" i="41"/>
  <c r="J190" i="41"/>
  <c r="I190" i="41"/>
  <c r="N189" i="41"/>
  <c r="M189" i="41"/>
  <c r="L189" i="41"/>
  <c r="K189" i="41"/>
  <c r="J189" i="41"/>
  <c r="I189" i="41"/>
  <c r="N188" i="41"/>
  <c r="M188" i="41"/>
  <c r="L188" i="41"/>
  <c r="K188" i="41"/>
  <c r="J188" i="41"/>
  <c r="I188" i="41"/>
  <c r="N187" i="41"/>
  <c r="M187" i="41"/>
  <c r="L187" i="41"/>
  <c r="K187" i="41"/>
  <c r="J187" i="41"/>
  <c r="I187" i="41"/>
  <c r="N186" i="41"/>
  <c r="M186" i="41"/>
  <c r="L186" i="41"/>
  <c r="K186" i="41"/>
  <c r="J186" i="41"/>
  <c r="I186" i="41"/>
  <c r="N185" i="41"/>
  <c r="M185" i="41"/>
  <c r="L185" i="41"/>
  <c r="K185" i="41"/>
  <c r="J185" i="41"/>
  <c r="I185" i="41"/>
  <c r="N184" i="41"/>
  <c r="M184" i="41"/>
  <c r="L184" i="41"/>
  <c r="K184" i="41"/>
  <c r="J184" i="41"/>
  <c r="I184" i="41"/>
  <c r="N183" i="41"/>
  <c r="M183" i="41"/>
  <c r="L183" i="41"/>
  <c r="K183" i="41"/>
  <c r="J183" i="41"/>
  <c r="I183" i="41"/>
  <c r="N182" i="41"/>
  <c r="M182" i="41"/>
  <c r="L182" i="41"/>
  <c r="K182" i="41"/>
  <c r="J182" i="41"/>
  <c r="I182" i="41"/>
  <c r="N181" i="41"/>
  <c r="M181" i="41"/>
  <c r="L181" i="41"/>
  <c r="K181" i="41"/>
  <c r="J181" i="41"/>
  <c r="I181" i="41"/>
  <c r="N180" i="41"/>
  <c r="M180" i="41"/>
  <c r="L180" i="41"/>
  <c r="K180" i="41"/>
  <c r="J180" i="41"/>
  <c r="I180" i="41"/>
  <c r="N179" i="41"/>
  <c r="M179" i="41"/>
  <c r="L179" i="41"/>
  <c r="K179" i="41"/>
  <c r="J179" i="41"/>
  <c r="I179" i="41"/>
  <c r="N178" i="41"/>
  <c r="M178" i="41"/>
  <c r="L178" i="41"/>
  <c r="K178" i="41"/>
  <c r="J178" i="41"/>
  <c r="I178" i="41"/>
  <c r="N177" i="41"/>
  <c r="M177" i="41"/>
  <c r="L177" i="41"/>
  <c r="K177" i="41"/>
  <c r="J177" i="41"/>
  <c r="I177" i="41"/>
  <c r="N176" i="41"/>
  <c r="M176" i="41"/>
  <c r="L176" i="41"/>
  <c r="K176" i="41"/>
  <c r="J176" i="41"/>
  <c r="I176" i="41"/>
  <c r="N175" i="41"/>
  <c r="M175" i="41"/>
  <c r="L175" i="41"/>
  <c r="K175" i="41"/>
  <c r="J175" i="41"/>
  <c r="I175" i="41"/>
  <c r="N174" i="41"/>
  <c r="M174" i="41"/>
  <c r="L174" i="41"/>
  <c r="K174" i="41"/>
  <c r="J174" i="41"/>
  <c r="I174" i="41"/>
  <c r="N173" i="41"/>
  <c r="M173" i="41"/>
  <c r="L173" i="41"/>
  <c r="K173" i="41"/>
  <c r="J173" i="41"/>
  <c r="I173" i="41"/>
  <c r="N172" i="41"/>
  <c r="M172" i="41"/>
  <c r="L172" i="41"/>
  <c r="K172" i="41"/>
  <c r="J172" i="41"/>
  <c r="I172" i="41"/>
  <c r="N171" i="41"/>
  <c r="M171" i="41"/>
  <c r="L171" i="41"/>
  <c r="K171" i="41"/>
  <c r="J171" i="41"/>
  <c r="I171" i="41"/>
  <c r="N170" i="41"/>
  <c r="M170" i="41"/>
  <c r="L170" i="41"/>
  <c r="K170" i="41"/>
  <c r="J170" i="41"/>
  <c r="I170" i="41"/>
  <c r="N169" i="41"/>
  <c r="M169" i="41"/>
  <c r="L169" i="41"/>
  <c r="K169" i="41"/>
  <c r="J169" i="41"/>
  <c r="I169" i="41"/>
  <c r="N168" i="41"/>
  <c r="M168" i="41"/>
  <c r="L168" i="41"/>
  <c r="K168" i="41"/>
  <c r="J168" i="41"/>
  <c r="I168" i="41"/>
  <c r="N167" i="41"/>
  <c r="M167" i="41"/>
  <c r="L167" i="41"/>
  <c r="K167" i="41"/>
  <c r="J167" i="41"/>
  <c r="I167" i="41"/>
  <c r="N166" i="41"/>
  <c r="M166" i="41"/>
  <c r="L166" i="41"/>
  <c r="K166" i="41"/>
  <c r="J166" i="41"/>
  <c r="I166" i="41"/>
  <c r="N165" i="41"/>
  <c r="M165" i="41"/>
  <c r="L165" i="41"/>
  <c r="K165" i="41"/>
  <c r="J165" i="41"/>
  <c r="I165" i="41"/>
  <c r="N164" i="41"/>
  <c r="M164" i="41"/>
  <c r="L164" i="41"/>
  <c r="K164" i="41"/>
  <c r="J164" i="41"/>
  <c r="I164" i="41"/>
  <c r="N163" i="41"/>
  <c r="M163" i="41"/>
  <c r="L163" i="41"/>
  <c r="K163" i="41"/>
  <c r="J163" i="41"/>
  <c r="I163" i="41"/>
  <c r="N162" i="41"/>
  <c r="M162" i="41"/>
  <c r="L162" i="41"/>
  <c r="K162" i="41"/>
  <c r="J162" i="41"/>
  <c r="I162" i="41"/>
  <c r="N161" i="41"/>
  <c r="M161" i="41"/>
  <c r="L161" i="41"/>
  <c r="K161" i="41"/>
  <c r="J161" i="41"/>
  <c r="I161" i="41"/>
  <c r="N160" i="41"/>
  <c r="M160" i="41"/>
  <c r="L160" i="41"/>
  <c r="K160" i="41"/>
  <c r="J160" i="41"/>
  <c r="I160" i="41"/>
  <c r="N159" i="41"/>
  <c r="M159" i="41"/>
  <c r="L159" i="41"/>
  <c r="K159" i="41"/>
  <c r="J159" i="41"/>
  <c r="I159" i="41"/>
  <c r="N158" i="41"/>
  <c r="M158" i="41"/>
  <c r="L158" i="41"/>
  <c r="K158" i="41"/>
  <c r="J158" i="41"/>
  <c r="I158" i="41"/>
  <c r="N157" i="41"/>
  <c r="M157" i="41"/>
  <c r="L157" i="41"/>
  <c r="K157" i="41"/>
  <c r="J157" i="41"/>
  <c r="I157" i="41"/>
  <c r="N156" i="41"/>
  <c r="M156" i="41"/>
  <c r="L156" i="41"/>
  <c r="K156" i="41"/>
  <c r="J156" i="41"/>
  <c r="I156" i="41"/>
  <c r="N155" i="41"/>
  <c r="M155" i="41"/>
  <c r="L155" i="41"/>
  <c r="K155" i="41"/>
  <c r="J155" i="41"/>
  <c r="I155" i="41"/>
  <c r="N154" i="41"/>
  <c r="M154" i="41"/>
  <c r="L154" i="41"/>
  <c r="K154" i="41"/>
  <c r="J154" i="41"/>
  <c r="I154" i="41"/>
  <c r="N153" i="41"/>
  <c r="M153" i="41"/>
  <c r="L153" i="41"/>
  <c r="K153" i="41"/>
  <c r="J153" i="41"/>
  <c r="I153" i="41"/>
  <c r="N152" i="41"/>
  <c r="M152" i="41"/>
  <c r="L152" i="41"/>
  <c r="K152" i="41"/>
  <c r="J152" i="41"/>
  <c r="I152" i="41"/>
  <c r="N151" i="41"/>
  <c r="M151" i="41"/>
  <c r="L151" i="41"/>
  <c r="K151" i="41"/>
  <c r="J151" i="41"/>
  <c r="I151" i="41"/>
  <c r="N150" i="41"/>
  <c r="M150" i="41"/>
  <c r="L150" i="41"/>
  <c r="K150" i="41"/>
  <c r="J150" i="41"/>
  <c r="I150" i="41"/>
  <c r="N149" i="41"/>
  <c r="M149" i="41"/>
  <c r="L149" i="41"/>
  <c r="K149" i="41"/>
  <c r="J149" i="41"/>
  <c r="I149" i="41"/>
  <c r="N148" i="41"/>
  <c r="M148" i="41"/>
  <c r="L148" i="41"/>
  <c r="K148" i="41"/>
  <c r="J148" i="41"/>
  <c r="I148" i="41"/>
  <c r="N147" i="41"/>
  <c r="M147" i="41"/>
  <c r="L147" i="41"/>
  <c r="K147" i="41"/>
  <c r="J147" i="41"/>
  <c r="I147" i="41"/>
  <c r="N146" i="41"/>
  <c r="M146" i="41"/>
  <c r="L146" i="41"/>
  <c r="K146" i="41"/>
  <c r="J146" i="41"/>
  <c r="I146" i="41"/>
  <c r="N145" i="41"/>
  <c r="M145" i="41"/>
  <c r="L145" i="41"/>
  <c r="K145" i="41"/>
  <c r="J145" i="41"/>
  <c r="I145" i="41"/>
  <c r="N144" i="41"/>
  <c r="M144" i="41"/>
  <c r="L144" i="41"/>
  <c r="K144" i="41"/>
  <c r="J144" i="41"/>
  <c r="I144" i="41"/>
  <c r="N143" i="41"/>
  <c r="M143" i="41"/>
  <c r="L143" i="41"/>
  <c r="K143" i="41"/>
  <c r="J143" i="41"/>
  <c r="I143" i="41"/>
  <c r="N142" i="41"/>
  <c r="M142" i="41"/>
  <c r="L142" i="41"/>
  <c r="K142" i="41"/>
  <c r="J142" i="41"/>
  <c r="I142" i="41"/>
  <c r="N141" i="41"/>
  <c r="M141" i="41"/>
  <c r="L141" i="41"/>
  <c r="K141" i="41"/>
  <c r="J141" i="41"/>
  <c r="I141" i="41"/>
  <c r="N140" i="41"/>
  <c r="M140" i="41"/>
  <c r="L140" i="41"/>
  <c r="K140" i="41"/>
  <c r="J140" i="41"/>
  <c r="I140" i="41"/>
  <c r="N139" i="41"/>
  <c r="M139" i="41"/>
  <c r="L139" i="41"/>
  <c r="K139" i="41"/>
  <c r="J139" i="41"/>
  <c r="I139" i="41"/>
  <c r="N138" i="41"/>
  <c r="M138" i="41"/>
  <c r="L138" i="41"/>
  <c r="K138" i="41"/>
  <c r="J138" i="41"/>
  <c r="I138" i="41"/>
  <c r="N137" i="41"/>
  <c r="M137" i="41"/>
  <c r="L137" i="41"/>
  <c r="K137" i="41"/>
  <c r="J137" i="41"/>
  <c r="I137" i="41"/>
  <c r="N136" i="41"/>
  <c r="M136" i="41"/>
  <c r="L136" i="41"/>
  <c r="K136" i="41"/>
  <c r="J136" i="41"/>
  <c r="I136" i="41"/>
  <c r="N135" i="41"/>
  <c r="M135" i="41"/>
  <c r="L135" i="41"/>
  <c r="K135" i="41"/>
  <c r="J135" i="41"/>
  <c r="I135" i="41"/>
  <c r="N134" i="41"/>
  <c r="M134" i="41"/>
  <c r="L134" i="41"/>
  <c r="K134" i="41"/>
  <c r="J134" i="41"/>
  <c r="I134" i="41"/>
  <c r="N133" i="41"/>
  <c r="M133" i="41"/>
  <c r="L133" i="41"/>
  <c r="K133" i="41"/>
  <c r="J133" i="41"/>
  <c r="I133" i="41"/>
  <c r="N132" i="41"/>
  <c r="M132" i="41"/>
  <c r="L132" i="41"/>
  <c r="K132" i="41"/>
  <c r="J132" i="41"/>
  <c r="I132" i="41"/>
  <c r="N131" i="41"/>
  <c r="M131" i="41"/>
  <c r="L131" i="41"/>
  <c r="K131" i="41"/>
  <c r="J131" i="41"/>
  <c r="I131" i="41"/>
  <c r="N130" i="41"/>
  <c r="M130" i="41"/>
  <c r="L130" i="41"/>
  <c r="K130" i="41"/>
  <c r="J130" i="41"/>
  <c r="I130" i="41"/>
  <c r="N129" i="41"/>
  <c r="M129" i="41"/>
  <c r="L129" i="41"/>
  <c r="K129" i="41"/>
  <c r="J129" i="41"/>
  <c r="I129" i="41"/>
  <c r="N128" i="41"/>
  <c r="M128" i="41"/>
  <c r="L128" i="41"/>
  <c r="K128" i="41"/>
  <c r="J128" i="41"/>
  <c r="I128" i="41"/>
  <c r="N127" i="41"/>
  <c r="M127" i="41"/>
  <c r="L127" i="41"/>
  <c r="K127" i="41"/>
  <c r="J127" i="41"/>
  <c r="I127" i="41"/>
  <c r="N126" i="41"/>
  <c r="M126" i="41"/>
  <c r="L126" i="41"/>
  <c r="K126" i="41"/>
  <c r="J126" i="41"/>
  <c r="I126" i="41"/>
  <c r="N125" i="41"/>
  <c r="M125" i="41"/>
  <c r="L125" i="41"/>
  <c r="K125" i="41"/>
  <c r="J125" i="41"/>
  <c r="I125" i="41"/>
  <c r="N124" i="41"/>
  <c r="M124" i="41"/>
  <c r="L124" i="41"/>
  <c r="K124" i="41"/>
  <c r="J124" i="41"/>
  <c r="I124" i="41"/>
  <c r="N123" i="41"/>
  <c r="M123" i="41"/>
  <c r="L123" i="41"/>
  <c r="K123" i="41"/>
  <c r="J123" i="41"/>
  <c r="I123" i="41"/>
  <c r="N122" i="41"/>
  <c r="M122" i="41"/>
  <c r="L122" i="41"/>
  <c r="K122" i="41"/>
  <c r="J122" i="41"/>
  <c r="I122" i="41"/>
  <c r="N121" i="41"/>
  <c r="M121" i="41"/>
  <c r="L121" i="41"/>
  <c r="K121" i="41"/>
  <c r="J121" i="41"/>
  <c r="I121" i="41"/>
  <c r="N120" i="41"/>
  <c r="M120" i="41"/>
  <c r="L120" i="41"/>
  <c r="K120" i="41"/>
  <c r="J120" i="41"/>
  <c r="I120" i="41"/>
  <c r="N119" i="41"/>
  <c r="M119" i="41"/>
  <c r="L119" i="41"/>
  <c r="K119" i="41"/>
  <c r="J119" i="41"/>
  <c r="I119" i="41"/>
  <c r="N118" i="41"/>
  <c r="M118" i="41"/>
  <c r="L118" i="41"/>
  <c r="K118" i="41"/>
  <c r="J118" i="41"/>
  <c r="I118" i="41"/>
  <c r="N117" i="41"/>
  <c r="M117" i="41"/>
  <c r="L117" i="41"/>
  <c r="K117" i="41"/>
  <c r="J117" i="41"/>
  <c r="I117" i="41"/>
  <c r="N116" i="41"/>
  <c r="M116" i="41"/>
  <c r="L116" i="41"/>
  <c r="K116" i="41"/>
  <c r="J116" i="41"/>
  <c r="I116" i="41"/>
  <c r="N115" i="41"/>
  <c r="M115" i="41"/>
  <c r="L115" i="41"/>
  <c r="K115" i="41"/>
  <c r="J115" i="41"/>
  <c r="I115" i="41"/>
  <c r="N114" i="41"/>
  <c r="M114" i="41"/>
  <c r="L114" i="41"/>
  <c r="K114" i="41"/>
  <c r="J114" i="41"/>
  <c r="I114" i="41"/>
  <c r="N113" i="41"/>
  <c r="M113" i="41"/>
  <c r="L113" i="41"/>
  <c r="K113" i="41"/>
  <c r="J113" i="41"/>
  <c r="I113" i="41"/>
  <c r="N112" i="41"/>
  <c r="M112" i="41"/>
  <c r="L112" i="41"/>
  <c r="K112" i="41"/>
  <c r="J112" i="41"/>
  <c r="I112" i="41"/>
  <c r="N111" i="41"/>
  <c r="M111" i="41"/>
  <c r="L111" i="41"/>
  <c r="K111" i="41"/>
  <c r="J111" i="41"/>
  <c r="I111" i="41"/>
  <c r="N110" i="41"/>
  <c r="M110" i="41"/>
  <c r="L110" i="41"/>
  <c r="K110" i="41"/>
  <c r="J110" i="41"/>
  <c r="I110" i="41"/>
  <c r="N109" i="41"/>
  <c r="M109" i="41"/>
  <c r="L109" i="41"/>
  <c r="K109" i="41"/>
  <c r="J109" i="41"/>
  <c r="I109" i="41"/>
  <c r="N108" i="41"/>
  <c r="M108" i="41"/>
  <c r="L108" i="41"/>
  <c r="K108" i="41"/>
  <c r="J108" i="41"/>
  <c r="I108" i="41"/>
  <c r="N107" i="41"/>
  <c r="M107" i="41"/>
  <c r="L107" i="41"/>
  <c r="K107" i="41"/>
  <c r="J107" i="41"/>
  <c r="I107" i="41"/>
  <c r="N106" i="41"/>
  <c r="M106" i="41"/>
  <c r="L106" i="41"/>
  <c r="K106" i="41"/>
  <c r="J106" i="41"/>
  <c r="I106" i="41"/>
  <c r="N105" i="41"/>
  <c r="M105" i="41"/>
  <c r="L105" i="41"/>
  <c r="K105" i="41"/>
  <c r="J105" i="41"/>
  <c r="I105" i="41"/>
  <c r="N104" i="41"/>
  <c r="M104" i="41"/>
  <c r="L104" i="41"/>
  <c r="K104" i="41"/>
  <c r="J104" i="41"/>
  <c r="I104" i="41"/>
  <c r="N103" i="41"/>
  <c r="M103" i="41"/>
  <c r="L103" i="41"/>
  <c r="K103" i="41"/>
  <c r="J103" i="41"/>
  <c r="I103" i="41"/>
  <c r="N102" i="41"/>
  <c r="M102" i="41"/>
  <c r="L102" i="41"/>
  <c r="K102" i="41"/>
  <c r="J102" i="41"/>
  <c r="I102" i="41"/>
  <c r="N101" i="41"/>
  <c r="M101" i="41"/>
  <c r="L101" i="41"/>
  <c r="K101" i="41"/>
  <c r="J101" i="41"/>
  <c r="I101" i="41"/>
  <c r="N100" i="41"/>
  <c r="M100" i="41"/>
  <c r="L100" i="41"/>
  <c r="K100" i="41"/>
  <c r="J100" i="41"/>
  <c r="I100" i="41"/>
  <c r="N99" i="41"/>
  <c r="M99" i="41"/>
  <c r="L99" i="41"/>
  <c r="K99" i="41"/>
  <c r="J99" i="41"/>
  <c r="I99" i="41"/>
  <c r="N98" i="41"/>
  <c r="M98" i="41"/>
  <c r="L98" i="41"/>
  <c r="K98" i="41"/>
  <c r="J98" i="41"/>
  <c r="I98" i="41"/>
  <c r="N97" i="41"/>
  <c r="M97" i="41"/>
  <c r="L97" i="41"/>
  <c r="K97" i="41"/>
  <c r="J97" i="41"/>
  <c r="I97" i="41"/>
  <c r="N96" i="41"/>
  <c r="M96" i="41"/>
  <c r="L96" i="41"/>
  <c r="K96" i="41"/>
  <c r="J96" i="41"/>
  <c r="I96" i="41"/>
  <c r="N95" i="41"/>
  <c r="M95" i="41"/>
  <c r="L95" i="41"/>
  <c r="K95" i="41"/>
  <c r="J95" i="41"/>
  <c r="I95" i="41"/>
  <c r="N94" i="41"/>
  <c r="M94" i="41"/>
  <c r="L94" i="41"/>
  <c r="K94" i="41"/>
  <c r="J94" i="41"/>
  <c r="I94" i="41"/>
  <c r="N93" i="41"/>
  <c r="M93" i="41"/>
  <c r="L93" i="41"/>
  <c r="K93" i="41"/>
  <c r="J93" i="41"/>
  <c r="I93" i="41"/>
  <c r="N92" i="41"/>
  <c r="M92" i="41"/>
  <c r="L92" i="41"/>
  <c r="K92" i="41"/>
  <c r="J92" i="41"/>
  <c r="I92" i="41"/>
  <c r="N91" i="41"/>
  <c r="M91" i="41"/>
  <c r="L91" i="41"/>
  <c r="K91" i="41"/>
  <c r="J91" i="41"/>
  <c r="I91" i="41"/>
  <c r="N90" i="41"/>
  <c r="M90" i="41"/>
  <c r="L90" i="41"/>
  <c r="K90" i="41"/>
  <c r="J90" i="41"/>
  <c r="I90" i="41"/>
  <c r="N89" i="41"/>
  <c r="M89" i="41"/>
  <c r="L89" i="41"/>
  <c r="K89" i="41"/>
  <c r="J89" i="41"/>
  <c r="I89" i="41"/>
  <c r="N88" i="41"/>
  <c r="M88" i="41"/>
  <c r="L88" i="41"/>
  <c r="K88" i="41"/>
  <c r="J88" i="41"/>
  <c r="I88" i="41"/>
  <c r="N87" i="41"/>
  <c r="M87" i="41"/>
  <c r="L87" i="41"/>
  <c r="K87" i="41"/>
  <c r="J87" i="41"/>
  <c r="I87" i="41"/>
  <c r="N86" i="41"/>
  <c r="M86" i="41"/>
  <c r="L86" i="41"/>
  <c r="K86" i="41"/>
  <c r="J86" i="41"/>
  <c r="I86" i="41"/>
  <c r="N85" i="41"/>
  <c r="M85" i="41"/>
  <c r="L85" i="41"/>
  <c r="K85" i="41"/>
  <c r="J85" i="41"/>
  <c r="I85" i="41"/>
  <c r="N84" i="41"/>
  <c r="M84" i="41"/>
  <c r="L84" i="41"/>
  <c r="K84" i="41"/>
  <c r="J84" i="41"/>
  <c r="I84" i="41"/>
  <c r="N83" i="41"/>
  <c r="M83" i="41"/>
  <c r="L83" i="41"/>
  <c r="K83" i="41"/>
  <c r="J83" i="41"/>
  <c r="I83" i="41"/>
  <c r="N82" i="41"/>
  <c r="M82" i="41"/>
  <c r="L82" i="41"/>
  <c r="K82" i="41"/>
  <c r="J82" i="41"/>
  <c r="I82" i="41"/>
  <c r="N81" i="41"/>
  <c r="M81" i="41"/>
  <c r="L81" i="41"/>
  <c r="K81" i="41"/>
  <c r="J81" i="41"/>
  <c r="I81" i="41"/>
  <c r="N80" i="41"/>
  <c r="M80" i="41"/>
  <c r="L80" i="41"/>
  <c r="K80" i="41"/>
  <c r="J80" i="41"/>
  <c r="I80" i="41"/>
  <c r="N79" i="41"/>
  <c r="M79" i="41"/>
  <c r="L79" i="41"/>
  <c r="K79" i="41"/>
  <c r="J79" i="41"/>
  <c r="I79" i="41"/>
  <c r="N78" i="41"/>
  <c r="M78" i="41"/>
  <c r="L78" i="41"/>
  <c r="K78" i="41"/>
  <c r="J78" i="41"/>
  <c r="I78" i="41"/>
  <c r="N77" i="41"/>
  <c r="M77" i="41"/>
  <c r="L77" i="41"/>
  <c r="K77" i="41"/>
  <c r="J77" i="41"/>
  <c r="I77" i="41"/>
  <c r="N76" i="41"/>
  <c r="M76" i="41"/>
  <c r="L76" i="41"/>
  <c r="K76" i="41"/>
  <c r="J76" i="41"/>
  <c r="I76" i="41"/>
  <c r="N75" i="41"/>
  <c r="M75" i="41"/>
  <c r="L75" i="41"/>
  <c r="K75" i="41"/>
  <c r="J75" i="41"/>
  <c r="I75" i="41"/>
  <c r="N74" i="41"/>
  <c r="M74" i="41"/>
  <c r="L74" i="41"/>
  <c r="K74" i="41"/>
  <c r="J74" i="41"/>
  <c r="I74" i="41"/>
  <c r="N73" i="41"/>
  <c r="M73" i="41"/>
  <c r="L73" i="41"/>
  <c r="K73" i="41"/>
  <c r="J73" i="41"/>
  <c r="I73" i="41"/>
  <c r="N72" i="41"/>
  <c r="M72" i="41"/>
  <c r="L72" i="41"/>
  <c r="K72" i="41"/>
  <c r="J72" i="41"/>
  <c r="I72" i="41"/>
  <c r="N71" i="41"/>
  <c r="M71" i="41"/>
  <c r="L71" i="41"/>
  <c r="K71" i="41"/>
  <c r="J71" i="41"/>
  <c r="I71" i="41"/>
  <c r="N70" i="41"/>
  <c r="M70" i="41"/>
  <c r="L70" i="41"/>
  <c r="K70" i="41"/>
  <c r="J70" i="41"/>
  <c r="I70" i="41"/>
  <c r="N69" i="41"/>
  <c r="M69" i="41"/>
  <c r="L69" i="41"/>
  <c r="K69" i="41"/>
  <c r="J69" i="41"/>
  <c r="I69" i="41"/>
  <c r="N68" i="41"/>
  <c r="M68" i="41"/>
  <c r="L68" i="41"/>
  <c r="K68" i="41"/>
  <c r="J68" i="41"/>
  <c r="I68" i="41"/>
  <c r="N67" i="41"/>
  <c r="M67" i="41"/>
  <c r="L67" i="41"/>
  <c r="K67" i="41"/>
  <c r="J67" i="41"/>
  <c r="I67" i="41"/>
  <c r="N66" i="41"/>
  <c r="M66" i="41"/>
  <c r="L66" i="41"/>
  <c r="K66" i="41"/>
  <c r="J66" i="41"/>
  <c r="I66" i="41"/>
  <c r="N65" i="41"/>
  <c r="M65" i="41"/>
  <c r="L65" i="41"/>
  <c r="K65" i="41"/>
  <c r="J65" i="41"/>
  <c r="I65" i="41"/>
  <c r="N64" i="41"/>
  <c r="M64" i="41"/>
  <c r="L64" i="41"/>
  <c r="K64" i="41"/>
  <c r="J64" i="41"/>
  <c r="I64" i="41"/>
  <c r="N63" i="41"/>
  <c r="M63" i="41"/>
  <c r="L63" i="41"/>
  <c r="K63" i="41"/>
  <c r="J63" i="41"/>
  <c r="I63" i="41"/>
  <c r="N62" i="41"/>
  <c r="M62" i="41"/>
  <c r="L62" i="41"/>
  <c r="K62" i="41"/>
  <c r="J62" i="41"/>
  <c r="I62" i="41"/>
  <c r="N61" i="41"/>
  <c r="M61" i="41"/>
  <c r="L61" i="41"/>
  <c r="K61" i="41"/>
  <c r="J61" i="41"/>
  <c r="I61" i="41"/>
  <c r="N60" i="41"/>
  <c r="M60" i="41"/>
  <c r="L60" i="41"/>
  <c r="K60" i="41"/>
  <c r="J60" i="41"/>
  <c r="I60" i="41"/>
  <c r="N59" i="41"/>
  <c r="M59" i="41"/>
  <c r="L59" i="41"/>
  <c r="K59" i="41"/>
  <c r="J59" i="41"/>
  <c r="I59" i="41"/>
  <c r="N58" i="41"/>
  <c r="M58" i="41"/>
  <c r="L58" i="41"/>
  <c r="K58" i="41"/>
  <c r="J58" i="41"/>
  <c r="I58" i="41"/>
  <c r="N57" i="41"/>
  <c r="M57" i="41"/>
  <c r="L57" i="41"/>
  <c r="K57" i="41"/>
  <c r="J57" i="41"/>
  <c r="I57" i="41"/>
  <c r="N56" i="41"/>
  <c r="M56" i="41"/>
  <c r="L56" i="41"/>
  <c r="K56" i="41"/>
  <c r="J56" i="41"/>
  <c r="I56" i="41"/>
  <c r="N55" i="41"/>
  <c r="M55" i="41"/>
  <c r="L55" i="41"/>
  <c r="K55" i="41"/>
  <c r="J55" i="41"/>
  <c r="I55" i="41"/>
  <c r="N54" i="41"/>
  <c r="M54" i="41"/>
  <c r="L54" i="41"/>
  <c r="K54" i="41"/>
  <c r="J54" i="41"/>
  <c r="I54" i="41"/>
  <c r="N53" i="41"/>
  <c r="M53" i="41"/>
  <c r="L53" i="41"/>
  <c r="K53" i="41"/>
  <c r="J53" i="41"/>
  <c r="I53" i="41"/>
  <c r="N52" i="41"/>
  <c r="M52" i="41"/>
  <c r="L52" i="41"/>
  <c r="K52" i="41"/>
  <c r="J52" i="41"/>
  <c r="I52" i="41"/>
  <c r="N51" i="41"/>
  <c r="M51" i="41"/>
  <c r="L51" i="41"/>
  <c r="K51" i="41"/>
  <c r="J51" i="41"/>
  <c r="I51" i="41"/>
  <c r="N50" i="41"/>
  <c r="M50" i="41"/>
  <c r="L50" i="41"/>
  <c r="K50" i="41"/>
  <c r="J50" i="41"/>
  <c r="I50" i="41"/>
  <c r="N49" i="41"/>
  <c r="M49" i="41"/>
  <c r="L49" i="41"/>
  <c r="K49" i="41"/>
  <c r="J49" i="41"/>
  <c r="I49" i="41"/>
  <c r="N48" i="41"/>
  <c r="M48" i="41"/>
  <c r="L48" i="41"/>
  <c r="K48" i="41"/>
  <c r="J48" i="41"/>
  <c r="I48" i="41"/>
  <c r="N47" i="41"/>
  <c r="M47" i="41"/>
  <c r="L47" i="41"/>
  <c r="K47" i="41"/>
  <c r="J47" i="41"/>
  <c r="I47" i="41"/>
  <c r="N46" i="41"/>
  <c r="M46" i="41"/>
  <c r="L46" i="41"/>
  <c r="K46" i="41"/>
  <c r="J46" i="41"/>
  <c r="I46" i="41"/>
  <c r="N45" i="41"/>
  <c r="M45" i="41"/>
  <c r="L45" i="41"/>
  <c r="K45" i="41"/>
  <c r="J45" i="41"/>
  <c r="I45" i="41"/>
  <c r="N44" i="41"/>
  <c r="M44" i="41"/>
  <c r="L44" i="41"/>
  <c r="K44" i="41"/>
  <c r="J44" i="41"/>
  <c r="I44" i="41"/>
  <c r="N43" i="41"/>
  <c r="M43" i="41"/>
  <c r="L43" i="41"/>
  <c r="K43" i="41"/>
  <c r="J43" i="41"/>
  <c r="I43" i="41"/>
  <c r="N42" i="41"/>
  <c r="M42" i="41"/>
  <c r="L42" i="41"/>
  <c r="K42" i="41"/>
  <c r="J42" i="41"/>
  <c r="I42" i="41"/>
  <c r="N41" i="41"/>
  <c r="M41" i="41"/>
  <c r="L41" i="41"/>
  <c r="K41" i="41"/>
  <c r="J41" i="41"/>
  <c r="I41" i="41"/>
  <c r="AA49" i="27"/>
  <c r="Z49" i="27"/>
  <c r="Y49" i="27"/>
  <c r="X49" i="27"/>
  <c r="W49" i="27"/>
  <c r="V49" i="27"/>
  <c r="U49" i="27"/>
  <c r="T49" i="27"/>
  <c r="S49" i="27"/>
  <c r="R49" i="27"/>
  <c r="Q49" i="27"/>
  <c r="AA48" i="27"/>
  <c r="Z48" i="27"/>
  <c r="Y48" i="27"/>
  <c r="X48" i="27"/>
  <c r="W48" i="27"/>
  <c r="V48" i="27"/>
  <c r="U48" i="27"/>
  <c r="T48" i="27"/>
  <c r="S48" i="27"/>
  <c r="R48" i="27"/>
  <c r="Q48" i="27"/>
  <c r="AA47" i="27"/>
  <c r="Z47" i="27"/>
  <c r="Y47" i="27"/>
  <c r="X47" i="27"/>
  <c r="W47" i="27"/>
  <c r="V47" i="27"/>
  <c r="U47" i="27"/>
  <c r="T47" i="27"/>
  <c r="S47" i="27"/>
  <c r="R47" i="27"/>
  <c r="Q47" i="27"/>
  <c r="AA46" i="27"/>
  <c r="Z46" i="27"/>
  <c r="Y46" i="27"/>
  <c r="X46" i="27"/>
  <c r="W46" i="27"/>
  <c r="V46" i="27"/>
  <c r="U46" i="27"/>
  <c r="T46" i="27"/>
  <c r="S46" i="27"/>
  <c r="R46" i="27"/>
  <c r="Q46" i="27"/>
  <c r="AA45" i="27"/>
  <c r="Z45" i="27"/>
  <c r="Y45" i="27"/>
  <c r="X45" i="27"/>
  <c r="W45" i="27"/>
  <c r="V45" i="27"/>
  <c r="U45" i="27"/>
  <c r="T45" i="27"/>
  <c r="S45" i="27"/>
  <c r="R45" i="27"/>
  <c r="Q45" i="27"/>
  <c r="AA44" i="27"/>
  <c r="Z44" i="27"/>
  <c r="Y44" i="27"/>
  <c r="X44" i="27"/>
  <c r="W44" i="27"/>
  <c r="V44" i="27"/>
  <c r="U44" i="27"/>
  <c r="T44" i="27"/>
  <c r="S44" i="27"/>
  <c r="R44" i="27"/>
  <c r="Q44" i="27"/>
  <c r="AA43" i="27"/>
  <c r="Z43" i="27"/>
  <c r="Y43" i="27"/>
  <c r="X43" i="27"/>
  <c r="W43" i="27"/>
  <c r="V43" i="27"/>
  <c r="U43" i="27"/>
  <c r="T43" i="27"/>
  <c r="S43" i="27"/>
  <c r="R43" i="27"/>
  <c r="Q43" i="27"/>
  <c r="AA42" i="27"/>
  <c r="Z42" i="27"/>
  <c r="Y42" i="27"/>
  <c r="X42" i="27"/>
  <c r="W42" i="27"/>
  <c r="V42" i="27"/>
  <c r="U42" i="27"/>
  <c r="T42" i="27"/>
  <c r="S42" i="27"/>
  <c r="R42" i="27"/>
  <c r="Q42" i="27"/>
  <c r="AA41" i="27"/>
  <c r="Z41" i="27"/>
  <c r="Y41" i="27"/>
  <c r="X41" i="27"/>
  <c r="W41" i="27"/>
  <c r="V41" i="27"/>
  <c r="U41" i="27"/>
  <c r="T41" i="27"/>
  <c r="S41" i="27"/>
  <c r="R41" i="27"/>
  <c r="Q41" i="27"/>
  <c r="AA40" i="27"/>
  <c r="Z40" i="27"/>
  <c r="Y40" i="27"/>
  <c r="X40" i="27"/>
  <c r="W40" i="27"/>
  <c r="V40" i="27"/>
  <c r="U40" i="27"/>
  <c r="T40" i="27"/>
  <c r="S40" i="27"/>
  <c r="R40" i="27"/>
  <c r="Q40" i="27"/>
  <c r="X40" i="25"/>
  <c r="W40" i="25"/>
  <c r="V40" i="25"/>
  <c r="U40" i="25"/>
  <c r="T40" i="25"/>
  <c r="S40" i="25"/>
  <c r="R40" i="25"/>
  <c r="Q40" i="25"/>
  <c r="P40" i="25"/>
  <c r="O40" i="25"/>
  <c r="N40" i="25"/>
  <c r="AB164" i="14"/>
  <c r="AA164" i="14"/>
  <c r="Y164" i="14"/>
  <c r="X164" i="14"/>
  <c r="V164" i="14"/>
  <c r="U164" i="14"/>
  <c r="S164" i="14"/>
  <c r="R164" i="14"/>
  <c r="AB163" i="14"/>
  <c r="AA163" i="14"/>
  <c r="Y163" i="14"/>
  <c r="X163" i="14"/>
  <c r="V163" i="14"/>
  <c r="U163" i="14"/>
  <c r="S163" i="14"/>
  <c r="R163" i="14"/>
  <c r="AB162" i="14"/>
  <c r="AA162" i="14"/>
  <c r="Y162" i="14"/>
  <c r="X162" i="14"/>
  <c r="V162" i="14"/>
  <c r="U162" i="14"/>
  <c r="S162" i="14"/>
  <c r="R162" i="14"/>
  <c r="AB161" i="14"/>
  <c r="AA161" i="14"/>
  <c r="Y161" i="14"/>
  <c r="X161" i="14"/>
  <c r="V161" i="14"/>
  <c r="U161" i="14"/>
  <c r="S161" i="14"/>
  <c r="R161" i="14"/>
  <c r="AB160" i="14"/>
  <c r="AA160" i="14"/>
  <c r="Y160" i="14"/>
  <c r="X160" i="14"/>
  <c r="V160" i="14"/>
  <c r="U160" i="14"/>
  <c r="S160" i="14"/>
  <c r="R160" i="14"/>
  <c r="AB159" i="14"/>
  <c r="AA159" i="14"/>
  <c r="Y159" i="14"/>
  <c r="X159" i="14"/>
  <c r="V159" i="14"/>
  <c r="U159" i="14"/>
  <c r="S159" i="14"/>
  <c r="R159" i="14"/>
  <c r="AB158" i="14"/>
  <c r="AA158" i="14"/>
  <c r="Y158" i="14"/>
  <c r="X158" i="14"/>
  <c r="V158" i="14"/>
  <c r="U158" i="14"/>
  <c r="S158" i="14"/>
  <c r="R158" i="14"/>
  <c r="AB157" i="14"/>
  <c r="AA157" i="14"/>
  <c r="Y157" i="14"/>
  <c r="X157" i="14"/>
  <c r="V157" i="14"/>
  <c r="U157" i="14"/>
  <c r="S157" i="14"/>
  <c r="R157" i="14"/>
  <c r="AB156" i="14"/>
  <c r="AA156" i="14"/>
  <c r="Y156" i="14"/>
  <c r="X156" i="14"/>
  <c r="V156" i="14"/>
  <c r="U156" i="14"/>
  <c r="S156" i="14"/>
  <c r="R156" i="14"/>
  <c r="AB155" i="14"/>
  <c r="AA155" i="14"/>
  <c r="Y155" i="14"/>
  <c r="X155" i="14"/>
  <c r="V155" i="14"/>
  <c r="U155" i="14"/>
  <c r="S155" i="14"/>
  <c r="R155" i="14"/>
  <c r="AB154" i="14"/>
  <c r="AA154" i="14"/>
  <c r="Y154" i="14"/>
  <c r="X154" i="14"/>
  <c r="V154" i="14"/>
  <c r="U154" i="14"/>
  <c r="S154" i="14"/>
  <c r="R154" i="14"/>
  <c r="AB153" i="14"/>
  <c r="AA153" i="14"/>
  <c r="Y153" i="14"/>
  <c r="X153" i="14"/>
  <c r="V153" i="14"/>
  <c r="U153" i="14"/>
  <c r="S153" i="14"/>
  <c r="R153" i="14"/>
  <c r="AB152" i="14"/>
  <c r="AA152" i="14"/>
  <c r="Y152" i="14"/>
  <c r="X152" i="14"/>
  <c r="V152" i="14"/>
  <c r="U152" i="14"/>
  <c r="S152" i="14"/>
  <c r="R152" i="14"/>
  <c r="AB151" i="14"/>
  <c r="AA151" i="14"/>
  <c r="Y151" i="14"/>
  <c r="X151" i="14"/>
  <c r="V151" i="14"/>
  <c r="U151" i="14"/>
  <c r="S151" i="14"/>
  <c r="R151" i="14"/>
  <c r="AB150" i="14"/>
  <c r="AA150" i="14"/>
  <c r="Y150" i="14"/>
  <c r="X150" i="14"/>
  <c r="V150" i="14"/>
  <c r="U150" i="14"/>
  <c r="S150" i="14"/>
  <c r="R150" i="14"/>
  <c r="AB149" i="14"/>
  <c r="AA149" i="14"/>
  <c r="Y149" i="14"/>
  <c r="X149" i="14"/>
  <c r="V149" i="14"/>
  <c r="U149" i="14"/>
  <c r="S149" i="14"/>
  <c r="R149" i="14"/>
  <c r="AB148" i="14"/>
  <c r="AA148" i="14"/>
  <c r="Y148" i="14"/>
  <c r="X148" i="14"/>
  <c r="V148" i="14"/>
  <c r="U148" i="14"/>
  <c r="S148" i="14"/>
  <c r="R148" i="14"/>
  <c r="AB147" i="14"/>
  <c r="AA147" i="14"/>
  <c r="Y147" i="14"/>
  <c r="X147" i="14"/>
  <c r="V147" i="14"/>
  <c r="U147" i="14"/>
  <c r="S147" i="14"/>
  <c r="R147" i="14"/>
  <c r="AB146" i="14"/>
  <c r="AA146" i="14"/>
  <c r="Y146" i="14"/>
  <c r="X146" i="14"/>
  <c r="V146" i="14"/>
  <c r="U146" i="14"/>
  <c r="S146" i="14"/>
  <c r="R146" i="14"/>
  <c r="AB145" i="14"/>
  <c r="AA145" i="14"/>
  <c r="Y145" i="14"/>
  <c r="X145" i="14"/>
  <c r="V145" i="14"/>
  <c r="U145" i="14"/>
  <c r="S145" i="14"/>
  <c r="R145" i="14"/>
  <c r="AB144" i="14"/>
  <c r="AA144" i="14"/>
  <c r="Y144" i="14"/>
  <c r="X144" i="14"/>
  <c r="V144" i="14"/>
  <c r="U144" i="14"/>
  <c r="S144" i="14"/>
  <c r="R144" i="14"/>
  <c r="AB143" i="14"/>
  <c r="AA143" i="14"/>
  <c r="Y143" i="14"/>
  <c r="X143" i="14"/>
  <c r="V143" i="14"/>
  <c r="U143" i="14"/>
  <c r="S143" i="14"/>
  <c r="R143" i="14"/>
  <c r="AB142" i="14"/>
  <c r="AA142" i="14"/>
  <c r="Y142" i="14"/>
  <c r="X142" i="14"/>
  <c r="V142" i="14"/>
  <c r="U142" i="14"/>
  <c r="S142" i="14"/>
  <c r="R142" i="14"/>
  <c r="AB141" i="14"/>
  <c r="AA141" i="14"/>
  <c r="Y141" i="14"/>
  <c r="X141" i="14"/>
  <c r="V141" i="14"/>
  <c r="U141" i="14"/>
  <c r="S141" i="14"/>
  <c r="R141" i="14"/>
  <c r="AB140" i="14"/>
  <c r="AA140" i="14"/>
  <c r="Y140" i="14"/>
  <c r="X140" i="14"/>
  <c r="V140" i="14"/>
  <c r="U140" i="14"/>
  <c r="S140" i="14"/>
  <c r="R140" i="14"/>
  <c r="AB139" i="14"/>
  <c r="AA139" i="14"/>
  <c r="Y139" i="14"/>
  <c r="X139" i="14"/>
  <c r="V139" i="14"/>
  <c r="U139" i="14"/>
  <c r="S139" i="14"/>
  <c r="R139" i="14"/>
  <c r="AB138" i="14"/>
  <c r="AA138" i="14"/>
  <c r="Y138" i="14"/>
  <c r="X138" i="14"/>
  <c r="V138" i="14"/>
  <c r="U138" i="14"/>
  <c r="S138" i="14"/>
  <c r="R138" i="14"/>
  <c r="AB137" i="14"/>
  <c r="AA137" i="14"/>
  <c r="Y137" i="14"/>
  <c r="X137" i="14"/>
  <c r="V137" i="14"/>
  <c r="U137" i="14"/>
  <c r="S137" i="14"/>
  <c r="R137" i="14"/>
  <c r="AB136" i="14"/>
  <c r="AA136" i="14"/>
  <c r="Y136" i="14"/>
  <c r="X136" i="14"/>
  <c r="V136" i="14"/>
  <c r="U136" i="14"/>
  <c r="S136" i="14"/>
  <c r="R136" i="14"/>
  <c r="AB135" i="14"/>
  <c r="AA135" i="14"/>
  <c r="Y135" i="14"/>
  <c r="X135" i="14"/>
  <c r="V135" i="14"/>
  <c r="U135" i="14"/>
  <c r="S135" i="14"/>
  <c r="R135" i="14"/>
  <c r="AB134" i="14"/>
  <c r="AA134" i="14"/>
  <c r="Y134" i="14"/>
  <c r="X134" i="14"/>
  <c r="V134" i="14"/>
  <c r="U134" i="14"/>
  <c r="S134" i="14"/>
  <c r="R134" i="14"/>
  <c r="AB133" i="14"/>
  <c r="AA133" i="14"/>
  <c r="Y133" i="14"/>
  <c r="X133" i="14"/>
  <c r="V133" i="14"/>
  <c r="U133" i="14"/>
  <c r="S133" i="14"/>
  <c r="R133" i="14"/>
  <c r="AB132" i="14"/>
  <c r="AA132" i="14"/>
  <c r="Y132" i="14"/>
  <c r="X132" i="14"/>
  <c r="V132" i="14"/>
  <c r="U132" i="14"/>
  <c r="S132" i="14"/>
  <c r="R132" i="14"/>
  <c r="AB131" i="14"/>
  <c r="AA131" i="14"/>
  <c r="Y131" i="14"/>
  <c r="X131" i="14"/>
  <c r="V131" i="14"/>
  <c r="U131" i="14"/>
  <c r="S131" i="14"/>
  <c r="R131" i="14"/>
  <c r="AB130" i="14"/>
  <c r="AA130" i="14"/>
  <c r="Y130" i="14"/>
  <c r="X130" i="14"/>
  <c r="V130" i="14"/>
  <c r="U130" i="14"/>
  <c r="S130" i="14"/>
  <c r="R130" i="14"/>
  <c r="AB129" i="14"/>
  <c r="AA129" i="14"/>
  <c r="Y129" i="14"/>
  <c r="X129" i="14"/>
  <c r="V129" i="14"/>
  <c r="U129" i="14"/>
  <c r="S129" i="14"/>
  <c r="R129" i="14"/>
  <c r="AB128" i="14"/>
  <c r="AA128" i="14"/>
  <c r="Y128" i="14"/>
  <c r="X128" i="14"/>
  <c r="V128" i="14"/>
  <c r="U128" i="14"/>
  <c r="S128" i="14"/>
  <c r="R128" i="14"/>
  <c r="AB127" i="14"/>
  <c r="AA127" i="14"/>
  <c r="Y127" i="14"/>
  <c r="X127" i="14"/>
  <c r="V127" i="14"/>
  <c r="U127" i="14"/>
  <c r="S127" i="14"/>
  <c r="R127" i="14"/>
  <c r="AB126" i="14"/>
  <c r="AA126" i="14"/>
  <c r="Y126" i="14"/>
  <c r="X126" i="14"/>
  <c r="V126" i="14"/>
  <c r="U126" i="14"/>
  <c r="S126" i="14"/>
  <c r="R126" i="14"/>
  <c r="AB125" i="14"/>
  <c r="AA125" i="14"/>
  <c r="Y125" i="14"/>
  <c r="X125" i="14"/>
  <c r="V125" i="14"/>
  <c r="U125" i="14"/>
  <c r="S125" i="14"/>
  <c r="R125" i="14"/>
  <c r="AB124" i="14"/>
  <c r="AA124" i="14"/>
  <c r="Y124" i="14"/>
  <c r="X124" i="14"/>
  <c r="V124" i="14"/>
  <c r="U124" i="14"/>
  <c r="S124" i="14"/>
  <c r="R124" i="14"/>
  <c r="AB123" i="14"/>
  <c r="AA123" i="14"/>
  <c r="Y123" i="14"/>
  <c r="X123" i="14"/>
  <c r="V123" i="14"/>
  <c r="U123" i="14"/>
  <c r="S123" i="14"/>
  <c r="R123" i="14"/>
  <c r="AB122" i="14"/>
  <c r="AA122" i="14"/>
  <c r="Y122" i="14"/>
  <c r="X122" i="14"/>
  <c r="V122" i="14"/>
  <c r="U122" i="14"/>
  <c r="S122" i="14"/>
  <c r="R122" i="14"/>
  <c r="AB121" i="14"/>
  <c r="AA121" i="14"/>
  <c r="Y121" i="14"/>
  <c r="X121" i="14"/>
  <c r="V121" i="14"/>
  <c r="U121" i="14"/>
  <c r="S121" i="14"/>
  <c r="R121" i="14"/>
  <c r="AB120" i="14"/>
  <c r="AA120" i="14"/>
  <c r="Y120" i="14"/>
  <c r="X120" i="14"/>
  <c r="V120" i="14"/>
  <c r="U120" i="14"/>
  <c r="S120" i="14"/>
  <c r="R120" i="14"/>
  <c r="AB119" i="14"/>
  <c r="AA119" i="14"/>
  <c r="Y119" i="14"/>
  <c r="X119" i="14"/>
  <c r="V119" i="14"/>
  <c r="U119" i="14"/>
  <c r="S119" i="14"/>
  <c r="R119" i="14"/>
  <c r="AB118" i="14"/>
  <c r="AA118" i="14"/>
  <c r="Y118" i="14"/>
  <c r="X118" i="14"/>
  <c r="V118" i="14"/>
  <c r="U118" i="14"/>
  <c r="S118" i="14"/>
  <c r="R118" i="14"/>
  <c r="AB117" i="14"/>
  <c r="AA117" i="14"/>
  <c r="Y117" i="14"/>
  <c r="X117" i="14"/>
  <c r="V117" i="14"/>
  <c r="U117" i="14"/>
  <c r="S117" i="14"/>
  <c r="R117" i="14"/>
  <c r="AB116" i="14"/>
  <c r="AA116" i="14"/>
  <c r="Y116" i="14"/>
  <c r="X116" i="14"/>
  <c r="V116" i="14"/>
  <c r="U116" i="14"/>
  <c r="S116" i="14"/>
  <c r="R116" i="14"/>
  <c r="AB115" i="14"/>
  <c r="AA115" i="14"/>
  <c r="Y115" i="14"/>
  <c r="X115" i="14"/>
  <c r="V115" i="14"/>
  <c r="U115" i="14"/>
  <c r="S115" i="14"/>
  <c r="R115" i="14"/>
  <c r="AB114" i="14"/>
  <c r="AA114" i="14"/>
  <c r="Y114" i="14"/>
  <c r="X114" i="14"/>
  <c r="V114" i="14"/>
  <c r="U114" i="14"/>
  <c r="S114" i="14"/>
  <c r="R114" i="14"/>
  <c r="AB113" i="14"/>
  <c r="AA113" i="14"/>
  <c r="Y113" i="14"/>
  <c r="X113" i="14"/>
  <c r="V113" i="14"/>
  <c r="U113" i="14"/>
  <c r="S113" i="14"/>
  <c r="R113" i="14"/>
  <c r="AB112" i="14"/>
  <c r="AA112" i="14"/>
  <c r="Y112" i="14"/>
  <c r="X112" i="14"/>
  <c r="V112" i="14"/>
  <c r="U112" i="14"/>
  <c r="S112" i="14"/>
  <c r="R112" i="14"/>
  <c r="AB111" i="14"/>
  <c r="AA111" i="14"/>
  <c r="Y111" i="14"/>
  <c r="X111" i="14"/>
  <c r="V111" i="14"/>
  <c r="U111" i="14"/>
  <c r="S111" i="14"/>
  <c r="R111" i="14"/>
  <c r="AB110" i="14"/>
  <c r="AA110" i="14"/>
  <c r="Y110" i="14"/>
  <c r="X110" i="14"/>
  <c r="V110" i="14"/>
  <c r="U110" i="14"/>
  <c r="S110" i="14"/>
  <c r="R110" i="14"/>
  <c r="AB109" i="14"/>
  <c r="AA109" i="14"/>
  <c r="Y109" i="14"/>
  <c r="X109" i="14"/>
  <c r="V109" i="14"/>
  <c r="U109" i="14"/>
  <c r="S109" i="14"/>
  <c r="R109" i="14"/>
  <c r="AB108" i="14"/>
  <c r="AA108" i="14"/>
  <c r="Y108" i="14"/>
  <c r="X108" i="14"/>
  <c r="V108" i="14"/>
  <c r="U108" i="14"/>
  <c r="S108" i="14"/>
  <c r="R108" i="14"/>
  <c r="AB107" i="14"/>
  <c r="AA107" i="14"/>
  <c r="Y107" i="14"/>
  <c r="X107" i="14"/>
  <c r="V107" i="14"/>
  <c r="U107" i="14"/>
  <c r="S107" i="14"/>
  <c r="R107" i="14"/>
  <c r="AB106" i="14"/>
  <c r="AA106" i="14"/>
  <c r="Y106" i="14"/>
  <c r="X106" i="14"/>
  <c r="V106" i="14"/>
  <c r="U106" i="14"/>
  <c r="S106" i="14"/>
  <c r="R106" i="14"/>
  <c r="AB105" i="14"/>
  <c r="AA105" i="14"/>
  <c r="Y105" i="14"/>
  <c r="X105" i="14"/>
  <c r="V105" i="14"/>
  <c r="U105" i="14"/>
  <c r="S105" i="14"/>
  <c r="R105" i="14"/>
  <c r="AB104" i="14"/>
  <c r="AA104" i="14"/>
  <c r="Y104" i="14"/>
  <c r="X104" i="14"/>
  <c r="V104" i="14"/>
  <c r="U104" i="14"/>
  <c r="S104" i="14"/>
  <c r="R104" i="14"/>
  <c r="AB103" i="14"/>
  <c r="AA103" i="14"/>
  <c r="Y103" i="14"/>
  <c r="X103" i="14"/>
  <c r="V103" i="14"/>
  <c r="U103" i="14"/>
  <c r="S103" i="14"/>
  <c r="R103" i="14"/>
  <c r="AB102" i="14"/>
  <c r="AA102" i="14"/>
  <c r="Y102" i="14"/>
  <c r="X102" i="14"/>
  <c r="V102" i="14"/>
  <c r="U102" i="14"/>
  <c r="S102" i="14"/>
  <c r="R102" i="14"/>
  <c r="AB101" i="14"/>
  <c r="AA101" i="14"/>
  <c r="Y101" i="14"/>
  <c r="X101" i="14"/>
  <c r="V101" i="14"/>
  <c r="U101" i="14"/>
  <c r="S101" i="14"/>
  <c r="R101" i="14"/>
  <c r="AB100" i="14"/>
  <c r="AA100" i="14"/>
  <c r="Y100" i="14"/>
  <c r="X100" i="14"/>
  <c r="V100" i="14"/>
  <c r="U100" i="14"/>
  <c r="S100" i="14"/>
  <c r="R100" i="14"/>
  <c r="AB99" i="14"/>
  <c r="AA99" i="14"/>
  <c r="Y99" i="14"/>
  <c r="X99" i="14"/>
  <c r="V99" i="14"/>
  <c r="U99" i="14"/>
  <c r="S99" i="14"/>
  <c r="R99" i="14"/>
  <c r="AB98" i="14"/>
  <c r="AA98" i="14"/>
  <c r="Y98" i="14"/>
  <c r="X98" i="14"/>
  <c r="V98" i="14"/>
  <c r="U98" i="14"/>
  <c r="S98" i="14"/>
  <c r="R98" i="14"/>
  <c r="AB97" i="14"/>
  <c r="AA97" i="14"/>
  <c r="Y97" i="14"/>
  <c r="X97" i="14"/>
  <c r="V97" i="14"/>
  <c r="U97" i="14"/>
  <c r="S97" i="14"/>
  <c r="R97" i="14"/>
  <c r="AB96" i="14"/>
  <c r="AA96" i="14"/>
  <c r="Y96" i="14"/>
  <c r="X96" i="14"/>
  <c r="V96" i="14"/>
  <c r="U96" i="14"/>
  <c r="S96" i="14"/>
  <c r="R96" i="14"/>
  <c r="AB95" i="14"/>
  <c r="AA95" i="14"/>
  <c r="Y95" i="14"/>
  <c r="X95" i="14"/>
  <c r="V95" i="14"/>
  <c r="U95" i="14"/>
  <c r="S95" i="14"/>
  <c r="R95" i="14"/>
  <c r="AB94" i="14"/>
  <c r="AA94" i="14"/>
  <c r="Y94" i="14"/>
  <c r="X94" i="14"/>
  <c r="V94" i="14"/>
  <c r="U94" i="14"/>
  <c r="S94" i="14"/>
  <c r="R94" i="14"/>
  <c r="AB93" i="14"/>
  <c r="AA93" i="14"/>
  <c r="Y93" i="14"/>
  <c r="X93" i="14"/>
  <c r="V93" i="14"/>
  <c r="U93" i="14"/>
  <c r="S93" i="14"/>
  <c r="R93" i="14"/>
  <c r="AB92" i="14"/>
  <c r="AA92" i="14"/>
  <c r="Y92" i="14"/>
  <c r="X92" i="14"/>
  <c r="V92" i="14"/>
  <c r="U92" i="14"/>
  <c r="S92" i="14"/>
  <c r="R92" i="14"/>
  <c r="AB91" i="14"/>
  <c r="AA91" i="14"/>
  <c r="Y91" i="14"/>
  <c r="X91" i="14"/>
  <c r="V91" i="14"/>
  <c r="U91" i="14"/>
  <c r="S91" i="14"/>
  <c r="R91" i="14"/>
  <c r="AB90" i="14"/>
  <c r="AA90" i="14"/>
  <c r="Y90" i="14"/>
  <c r="X90" i="14"/>
  <c r="V90" i="14"/>
  <c r="U90" i="14"/>
  <c r="S90" i="14"/>
  <c r="R90" i="14"/>
  <c r="AB89" i="14"/>
  <c r="AA89" i="14"/>
  <c r="Y89" i="14"/>
  <c r="X89" i="14"/>
  <c r="V89" i="14"/>
  <c r="U89" i="14"/>
  <c r="S89" i="14"/>
  <c r="R89" i="14"/>
  <c r="AB88" i="14"/>
  <c r="AA88" i="14"/>
  <c r="Y88" i="14"/>
  <c r="X88" i="14"/>
  <c r="V88" i="14"/>
  <c r="U88" i="14"/>
  <c r="S88" i="14"/>
  <c r="R88" i="14"/>
  <c r="AB87" i="14"/>
  <c r="AA87" i="14"/>
  <c r="Y87" i="14"/>
  <c r="X87" i="14"/>
  <c r="V87" i="14"/>
  <c r="U87" i="14"/>
  <c r="S87" i="14"/>
  <c r="R87" i="14"/>
  <c r="AB86" i="14"/>
  <c r="AA86" i="14"/>
  <c r="Y86" i="14"/>
  <c r="X86" i="14"/>
  <c r="V86" i="14"/>
  <c r="U86" i="14"/>
  <c r="S86" i="14"/>
  <c r="R86" i="14"/>
  <c r="AB85" i="14"/>
  <c r="AA85" i="14"/>
  <c r="Y85" i="14"/>
  <c r="X85" i="14"/>
  <c r="V85" i="14"/>
  <c r="U85" i="14"/>
  <c r="S85" i="14"/>
  <c r="R85" i="14"/>
  <c r="AB84" i="14"/>
  <c r="AA84" i="14"/>
  <c r="Y84" i="14"/>
  <c r="X84" i="14"/>
  <c r="V84" i="14"/>
  <c r="U84" i="14"/>
  <c r="S84" i="14"/>
  <c r="R84" i="14"/>
  <c r="AB83" i="14"/>
  <c r="AA83" i="14"/>
  <c r="Y83" i="14"/>
  <c r="X83" i="14"/>
  <c r="V83" i="14"/>
  <c r="U83" i="14"/>
  <c r="S83" i="14"/>
  <c r="R83" i="14"/>
  <c r="AB82" i="14"/>
  <c r="AA82" i="14"/>
  <c r="Y82" i="14"/>
  <c r="X82" i="14"/>
  <c r="V82" i="14"/>
  <c r="U82" i="14"/>
  <c r="S82" i="14"/>
  <c r="R82" i="14"/>
  <c r="AB81" i="14"/>
  <c r="AA81" i="14"/>
  <c r="Y81" i="14"/>
  <c r="X81" i="14"/>
  <c r="V81" i="14"/>
  <c r="U81" i="14"/>
  <c r="S81" i="14"/>
  <c r="R81" i="14"/>
  <c r="AB80" i="14"/>
  <c r="AA80" i="14"/>
  <c r="Y80" i="14"/>
  <c r="X80" i="14"/>
  <c r="V80" i="14"/>
  <c r="U80" i="14"/>
  <c r="S80" i="14"/>
  <c r="R80" i="14"/>
  <c r="AB79" i="14"/>
  <c r="AA79" i="14"/>
  <c r="Y79" i="14"/>
  <c r="X79" i="14"/>
  <c r="V79" i="14"/>
  <c r="U79" i="14"/>
  <c r="S79" i="14"/>
  <c r="R79" i="14"/>
  <c r="AB78" i="14"/>
  <c r="AA78" i="14"/>
  <c r="Y78" i="14"/>
  <c r="X78" i="14"/>
  <c r="V78" i="14"/>
  <c r="U78" i="14"/>
  <c r="S78" i="14"/>
  <c r="R78" i="14"/>
  <c r="AB77" i="14"/>
  <c r="AA77" i="14"/>
  <c r="Y77" i="14"/>
  <c r="X77" i="14"/>
  <c r="V77" i="14"/>
  <c r="U77" i="14"/>
  <c r="S77" i="14"/>
  <c r="R77" i="14"/>
  <c r="AB76" i="14"/>
  <c r="AA76" i="14"/>
  <c r="Y76" i="14"/>
  <c r="X76" i="14"/>
  <c r="V76" i="14"/>
  <c r="U76" i="14"/>
  <c r="S76" i="14"/>
  <c r="R76" i="14"/>
  <c r="AB75" i="14"/>
  <c r="AA75" i="14"/>
  <c r="Y75" i="14"/>
  <c r="X75" i="14"/>
  <c r="V75" i="14"/>
  <c r="U75" i="14"/>
  <c r="S75" i="14"/>
  <c r="R75" i="14"/>
  <c r="AB74" i="14"/>
  <c r="AA74" i="14"/>
  <c r="Y74" i="14"/>
  <c r="X74" i="14"/>
  <c r="V74" i="14"/>
  <c r="U74" i="14"/>
  <c r="S74" i="14"/>
  <c r="R74" i="14"/>
  <c r="AB73" i="14"/>
  <c r="AA73" i="14"/>
  <c r="Y73" i="14"/>
  <c r="X73" i="14"/>
  <c r="V73" i="14"/>
  <c r="U73" i="14"/>
  <c r="S73" i="14"/>
  <c r="R73" i="14"/>
  <c r="AB72" i="14"/>
  <c r="AA72" i="14"/>
  <c r="Y72" i="14"/>
  <c r="X72" i="14"/>
  <c r="V72" i="14"/>
  <c r="U72" i="14"/>
  <c r="S72" i="14"/>
  <c r="R72" i="14"/>
  <c r="AB71" i="14"/>
  <c r="AA71" i="14"/>
  <c r="Y71" i="14"/>
  <c r="X71" i="14"/>
  <c r="V71" i="14"/>
  <c r="U71" i="14"/>
  <c r="S71" i="14"/>
  <c r="R71" i="14"/>
  <c r="AB70" i="14"/>
  <c r="AA70" i="14"/>
  <c r="Y70" i="14"/>
  <c r="X70" i="14"/>
  <c r="V70" i="14"/>
  <c r="U70" i="14"/>
  <c r="S70" i="14"/>
  <c r="R70" i="14"/>
  <c r="AB69" i="14"/>
  <c r="AA69" i="14"/>
  <c r="Y69" i="14"/>
  <c r="X69" i="14"/>
  <c r="V69" i="14"/>
  <c r="U69" i="14"/>
  <c r="S69" i="14"/>
  <c r="R69" i="14"/>
  <c r="AB68" i="14"/>
  <c r="AA68" i="14"/>
  <c r="Y68" i="14"/>
  <c r="X68" i="14"/>
  <c r="V68" i="14"/>
  <c r="U68" i="14"/>
  <c r="S68" i="14"/>
  <c r="R68" i="14"/>
  <c r="AB67" i="14"/>
  <c r="AA67" i="14"/>
  <c r="Y67" i="14"/>
  <c r="X67" i="14"/>
  <c r="V67" i="14"/>
  <c r="U67" i="14"/>
  <c r="S67" i="14"/>
  <c r="R67" i="14"/>
  <c r="AB66" i="14"/>
  <c r="AA66" i="14"/>
  <c r="Y66" i="14"/>
  <c r="X66" i="14"/>
  <c r="V66" i="14"/>
  <c r="U66" i="14"/>
  <c r="S66" i="14"/>
  <c r="R66" i="14"/>
  <c r="AB65" i="14"/>
  <c r="AA65" i="14"/>
  <c r="Y65" i="14"/>
  <c r="X65" i="14"/>
  <c r="V65" i="14"/>
  <c r="U65" i="14"/>
  <c r="S65" i="14"/>
  <c r="R65" i="14"/>
  <c r="AB64" i="14"/>
  <c r="AA64" i="14"/>
  <c r="Y64" i="14"/>
  <c r="X64" i="14"/>
  <c r="V64" i="14"/>
  <c r="U64" i="14"/>
  <c r="S64" i="14"/>
  <c r="R64" i="14"/>
  <c r="AB63" i="14"/>
  <c r="AA63" i="14"/>
  <c r="Y63" i="14"/>
  <c r="X63" i="14"/>
  <c r="V63" i="14"/>
  <c r="U63" i="14"/>
  <c r="S63" i="14"/>
  <c r="R63" i="14"/>
  <c r="AB62" i="14"/>
  <c r="AA62" i="14"/>
  <c r="Y62" i="14"/>
  <c r="X62" i="14"/>
  <c r="V62" i="14"/>
  <c r="U62" i="14"/>
  <c r="S62" i="14"/>
  <c r="R62" i="14"/>
  <c r="AB61" i="14"/>
  <c r="AA61" i="14"/>
  <c r="Y61" i="14"/>
  <c r="X61" i="14"/>
  <c r="V61" i="14"/>
  <c r="U61" i="14"/>
  <c r="S61" i="14"/>
  <c r="R61" i="14"/>
  <c r="AB60" i="14"/>
  <c r="AA60" i="14"/>
  <c r="Y60" i="14"/>
  <c r="X60" i="14"/>
  <c r="V60" i="14"/>
  <c r="U60" i="14"/>
  <c r="S60" i="14"/>
  <c r="R60" i="14"/>
  <c r="AB59" i="14"/>
  <c r="AA59" i="14"/>
  <c r="Y59" i="14"/>
  <c r="X59" i="14"/>
  <c r="V59" i="14"/>
  <c r="U59" i="14"/>
  <c r="S59" i="14"/>
  <c r="R59" i="14"/>
  <c r="AB58" i="14"/>
  <c r="AA58" i="14"/>
  <c r="Y58" i="14"/>
  <c r="X58" i="14"/>
  <c r="V58" i="14"/>
  <c r="U58" i="14"/>
  <c r="S58" i="14"/>
  <c r="R58" i="14"/>
  <c r="AB57" i="14"/>
  <c r="AA57" i="14"/>
  <c r="Y57" i="14"/>
  <c r="X57" i="14"/>
  <c r="V57" i="14"/>
  <c r="U57" i="14"/>
  <c r="S57" i="14"/>
  <c r="R57" i="14"/>
  <c r="AB56" i="14"/>
  <c r="AA56" i="14"/>
  <c r="Y56" i="14"/>
  <c r="X56" i="14"/>
  <c r="V56" i="14"/>
  <c r="U56" i="14"/>
  <c r="S56" i="14"/>
  <c r="R56" i="14"/>
  <c r="AB55" i="14"/>
  <c r="AA55" i="14"/>
  <c r="Y55" i="14"/>
  <c r="X55" i="14"/>
  <c r="V55" i="14"/>
  <c r="U55" i="14"/>
  <c r="S55" i="14"/>
  <c r="R55" i="14"/>
  <c r="AB54" i="14"/>
  <c r="AA54" i="14"/>
  <c r="Y54" i="14"/>
  <c r="X54" i="14"/>
  <c r="V54" i="14"/>
  <c r="U54" i="14"/>
  <c r="S54" i="14"/>
  <c r="R54" i="14"/>
  <c r="AB53" i="14"/>
  <c r="AA53" i="14"/>
  <c r="Y53" i="14"/>
  <c r="X53" i="14"/>
  <c r="V53" i="14"/>
  <c r="U53" i="14"/>
  <c r="S53" i="14"/>
  <c r="R53" i="14"/>
  <c r="AB52" i="14"/>
  <c r="AA52" i="14"/>
  <c r="Y52" i="14"/>
  <c r="X52" i="14"/>
  <c r="V52" i="14"/>
  <c r="U52" i="14"/>
  <c r="S52" i="14"/>
  <c r="R52" i="14"/>
  <c r="AB51" i="14"/>
  <c r="AA51" i="14"/>
  <c r="Y51" i="14"/>
  <c r="X51" i="14"/>
  <c r="V51" i="14"/>
  <c r="U51" i="14"/>
  <c r="S51" i="14"/>
  <c r="R51" i="14"/>
  <c r="AB50" i="14"/>
  <c r="AA50" i="14"/>
  <c r="Y50" i="14"/>
  <c r="X50" i="14"/>
  <c r="V50" i="14"/>
  <c r="U50" i="14"/>
  <c r="S50" i="14"/>
  <c r="R50" i="14"/>
  <c r="AB49" i="14"/>
  <c r="AA49" i="14"/>
  <c r="Y49" i="14"/>
  <c r="X49" i="14"/>
  <c r="V49" i="14"/>
  <c r="U49" i="14"/>
  <c r="S49" i="14"/>
  <c r="R49" i="14"/>
  <c r="AB48" i="14"/>
  <c r="AA48" i="14"/>
  <c r="Y48" i="14"/>
  <c r="X48" i="14"/>
  <c r="V48" i="14"/>
  <c r="U48" i="14"/>
  <c r="S48" i="14"/>
  <c r="R48" i="14"/>
  <c r="AB47" i="14"/>
  <c r="AA47" i="14"/>
  <c r="Y47" i="14"/>
  <c r="X47" i="14"/>
  <c r="V47" i="14"/>
  <c r="U47" i="14"/>
  <c r="S47" i="14"/>
  <c r="R47" i="14"/>
  <c r="AB46" i="14"/>
  <c r="AA46" i="14"/>
  <c r="Y46" i="14"/>
  <c r="X46" i="14"/>
  <c r="V46" i="14"/>
  <c r="U46" i="14"/>
  <c r="S46" i="14"/>
  <c r="R46" i="14"/>
  <c r="AB45" i="14"/>
  <c r="AA45" i="14"/>
  <c r="Y45" i="14"/>
  <c r="X45" i="14"/>
  <c r="V45" i="14"/>
  <c r="U45" i="14"/>
  <c r="S45" i="14"/>
  <c r="R45" i="14"/>
  <c r="AB44" i="14"/>
  <c r="AA44" i="14"/>
  <c r="Y44" i="14"/>
  <c r="X44" i="14"/>
  <c r="V44" i="14"/>
  <c r="U44" i="14"/>
  <c r="S44" i="14"/>
  <c r="R44" i="14"/>
  <c r="AB43" i="14"/>
  <c r="AA43" i="14"/>
  <c r="Y43" i="14"/>
  <c r="X43" i="14"/>
  <c r="V43" i="14"/>
  <c r="U43" i="14"/>
  <c r="S43" i="14"/>
  <c r="R43" i="14"/>
  <c r="AB42" i="14"/>
  <c r="AA42" i="14"/>
  <c r="Y42" i="14"/>
  <c r="X42" i="14"/>
  <c r="V42" i="14"/>
  <c r="U42" i="14"/>
  <c r="S42" i="14"/>
  <c r="R42" i="14"/>
  <c r="AB41" i="14"/>
  <c r="AA41" i="14"/>
  <c r="Y41" i="14"/>
  <c r="X41" i="14"/>
  <c r="V41" i="14"/>
  <c r="U41" i="14"/>
  <c r="S41" i="14"/>
  <c r="R41" i="14"/>
  <c r="AB40" i="14"/>
  <c r="AA40" i="14"/>
  <c r="Y40" i="14"/>
  <c r="X40" i="14"/>
  <c r="V40" i="14"/>
  <c r="U40" i="14"/>
  <c r="S40" i="14"/>
  <c r="R40" i="14"/>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G4" i="80"/>
  <c r="H4" i="80"/>
  <c r="I4" i="80"/>
  <c r="J4" i="80"/>
  <c r="G5" i="80"/>
  <c r="H5" i="80"/>
  <c r="I5" i="80"/>
  <c r="J5" i="80"/>
  <c r="G6" i="80"/>
  <c r="H6" i="80"/>
  <c r="I6" i="80"/>
  <c r="J6" i="80"/>
  <c r="G7" i="80"/>
  <c r="H7" i="80"/>
  <c r="I7" i="80"/>
  <c r="J7" i="80"/>
  <c r="G8" i="80"/>
  <c r="H8" i="80"/>
  <c r="I8" i="80"/>
  <c r="J8" i="80"/>
  <c r="G9" i="80"/>
  <c r="H9" i="80"/>
  <c r="I9" i="80"/>
  <c r="J9" i="80"/>
  <c r="G10" i="80"/>
  <c r="H10" i="80"/>
  <c r="I10" i="80"/>
  <c r="J10" i="80"/>
  <c r="G11" i="80"/>
  <c r="H11" i="80"/>
  <c r="I11" i="80"/>
  <c r="J11" i="80"/>
  <c r="G12" i="80"/>
  <c r="H12" i="80"/>
  <c r="I12" i="80"/>
  <c r="J12" i="80"/>
  <c r="G13" i="80"/>
  <c r="H13" i="80"/>
  <c r="I13" i="80"/>
  <c r="J13" i="80"/>
  <c r="G14" i="80"/>
  <c r="H14" i="80"/>
  <c r="I14" i="80"/>
  <c r="J14" i="80"/>
  <c r="G15" i="80"/>
  <c r="H15" i="80"/>
  <c r="I15" i="80"/>
  <c r="J15" i="80"/>
  <c r="G16" i="80"/>
  <c r="H16" i="80"/>
  <c r="I16" i="80"/>
  <c r="J16" i="80"/>
  <c r="G17" i="80"/>
  <c r="H17" i="80"/>
  <c r="I17" i="80"/>
  <c r="J17" i="80"/>
  <c r="G18" i="80"/>
  <c r="H18" i="80"/>
  <c r="I18" i="80"/>
  <c r="J18" i="80"/>
  <c r="G19" i="80"/>
  <c r="H19" i="80"/>
  <c r="I19" i="80"/>
  <c r="J19" i="80"/>
  <c r="G20" i="80"/>
  <c r="H20" i="80"/>
  <c r="I20" i="80"/>
  <c r="J20" i="80"/>
  <c r="G21" i="80"/>
  <c r="H21" i="80"/>
  <c r="I21" i="80"/>
  <c r="J21" i="80"/>
  <c r="G22" i="80"/>
  <c r="H22" i="80"/>
  <c r="I22" i="80"/>
  <c r="J22" i="80"/>
  <c r="G23" i="80"/>
  <c r="H23" i="80"/>
  <c r="I23" i="80"/>
  <c r="J23" i="80"/>
  <c r="G24" i="80"/>
  <c r="H24" i="80"/>
  <c r="I24" i="80"/>
  <c r="J24" i="80"/>
  <c r="G25" i="80"/>
  <c r="H25" i="80"/>
  <c r="I25" i="80"/>
  <c r="J25" i="80"/>
  <c r="G26" i="80"/>
  <c r="H26" i="80"/>
  <c r="I26" i="80"/>
  <c r="J26" i="80"/>
  <c r="G27" i="80"/>
  <c r="H27" i="80"/>
  <c r="I27" i="80"/>
  <c r="J27" i="80"/>
  <c r="G28" i="80"/>
  <c r="H28" i="80"/>
  <c r="I28" i="80"/>
  <c r="J28" i="80"/>
  <c r="G29" i="80"/>
  <c r="H29" i="80"/>
  <c r="I29" i="80"/>
  <c r="J29" i="80"/>
  <c r="G30" i="80"/>
  <c r="H30" i="80"/>
  <c r="I30" i="80"/>
  <c r="J30" i="80"/>
  <c r="G31" i="80"/>
  <c r="H31" i="80"/>
  <c r="I31" i="80"/>
  <c r="J31" i="80"/>
  <c r="G32" i="80"/>
  <c r="H32" i="80"/>
  <c r="I32" i="80"/>
  <c r="J32" i="80"/>
  <c r="G33" i="80"/>
  <c r="H33" i="80"/>
  <c r="I33" i="80"/>
  <c r="J33" i="80"/>
  <c r="G34" i="80"/>
  <c r="H34" i="80"/>
  <c r="I34" i="80"/>
  <c r="J34" i="80"/>
  <c r="G35" i="80"/>
  <c r="H35" i="80"/>
  <c r="I35" i="80"/>
  <c r="J35" i="80"/>
  <c r="H3" i="80"/>
  <c r="I3" i="80"/>
  <c r="J3" i="80"/>
  <c r="G3" i="80"/>
  <c r="G5" i="79"/>
  <c r="H5" i="79"/>
  <c r="I5" i="79"/>
  <c r="J5" i="79"/>
  <c r="G6" i="79"/>
  <c r="H6" i="79"/>
  <c r="I6" i="79"/>
  <c r="J6" i="79"/>
  <c r="G7" i="79"/>
  <c r="H7" i="79"/>
  <c r="I7" i="79"/>
  <c r="J7" i="79"/>
  <c r="G8" i="79"/>
  <c r="H8" i="79"/>
  <c r="I8" i="79"/>
  <c r="J8" i="79"/>
  <c r="G9" i="79"/>
  <c r="H9" i="79"/>
  <c r="I9" i="79"/>
  <c r="J9" i="79"/>
  <c r="G10" i="79"/>
  <c r="H10" i="79"/>
  <c r="I10" i="79"/>
  <c r="J10" i="79"/>
  <c r="G11" i="79"/>
  <c r="H11" i="79"/>
  <c r="I11" i="79"/>
  <c r="J11" i="79"/>
  <c r="G12" i="79"/>
  <c r="H12" i="79"/>
  <c r="I12" i="79"/>
  <c r="J12" i="79"/>
  <c r="G13" i="79"/>
  <c r="H13" i="79"/>
  <c r="I13" i="79"/>
  <c r="J13" i="79"/>
  <c r="G14" i="79"/>
  <c r="H14" i="79"/>
  <c r="I14" i="79"/>
  <c r="J14" i="79"/>
  <c r="G15" i="79"/>
  <c r="H15" i="79"/>
  <c r="I15" i="79"/>
  <c r="J15" i="79"/>
  <c r="G16" i="79"/>
  <c r="H16" i="79"/>
  <c r="I16" i="79"/>
  <c r="J16" i="79"/>
  <c r="G17" i="79"/>
  <c r="H17" i="79"/>
  <c r="I17" i="79"/>
  <c r="J17" i="79"/>
  <c r="G18" i="79"/>
  <c r="H18" i="79"/>
  <c r="I18" i="79"/>
  <c r="J18" i="79"/>
  <c r="G19" i="79"/>
  <c r="H19" i="79"/>
  <c r="I19" i="79"/>
  <c r="J19" i="79"/>
  <c r="G20" i="79"/>
  <c r="H20" i="79"/>
  <c r="I20" i="79"/>
  <c r="J20" i="79"/>
  <c r="G21" i="79"/>
  <c r="H21" i="79"/>
  <c r="I21" i="79"/>
  <c r="J21" i="79"/>
  <c r="G22" i="79"/>
  <c r="H22" i="79"/>
  <c r="I22" i="79"/>
  <c r="J22" i="79"/>
  <c r="G23" i="79"/>
  <c r="H23" i="79"/>
  <c r="I23" i="79"/>
  <c r="J23" i="79"/>
  <c r="G24" i="79"/>
  <c r="H24" i="79"/>
  <c r="I24" i="79"/>
  <c r="J24" i="79"/>
  <c r="G25" i="79"/>
  <c r="H25" i="79"/>
  <c r="I25" i="79"/>
  <c r="J25" i="79"/>
  <c r="G26" i="79"/>
  <c r="H26" i="79"/>
  <c r="I26" i="79"/>
  <c r="J26" i="79"/>
  <c r="G27" i="79"/>
  <c r="H27" i="79"/>
  <c r="I27" i="79"/>
  <c r="J27" i="79"/>
  <c r="G28" i="79"/>
  <c r="H28" i="79"/>
  <c r="I28" i="79"/>
  <c r="J28" i="79"/>
  <c r="G29" i="79"/>
  <c r="H29" i="79"/>
  <c r="I29" i="79"/>
  <c r="J29" i="79"/>
  <c r="G30" i="79"/>
  <c r="H30" i="79"/>
  <c r="I30" i="79"/>
  <c r="J30" i="79"/>
  <c r="G31" i="79"/>
  <c r="H31" i="79"/>
  <c r="I31" i="79"/>
  <c r="J31" i="79"/>
  <c r="G32" i="79"/>
  <c r="H32" i="79"/>
  <c r="I32" i="79"/>
  <c r="J32" i="79"/>
  <c r="G33" i="79"/>
  <c r="H33" i="79"/>
  <c r="I33" i="79"/>
  <c r="J33" i="79"/>
  <c r="G34" i="79"/>
  <c r="H34" i="79"/>
  <c r="I34" i="79"/>
  <c r="J34" i="79"/>
  <c r="G35" i="79"/>
  <c r="H35" i="79"/>
  <c r="I35" i="79"/>
  <c r="J35" i="79"/>
  <c r="G36" i="79"/>
  <c r="H36" i="79"/>
  <c r="I36" i="79"/>
  <c r="J36" i="79"/>
  <c r="G37" i="79"/>
  <c r="H37" i="79"/>
  <c r="I37" i="79"/>
  <c r="J37" i="79"/>
  <c r="G42" i="79"/>
  <c r="H42" i="79"/>
  <c r="I42" i="79"/>
  <c r="J42" i="79"/>
  <c r="G43" i="79"/>
  <c r="H43" i="79"/>
  <c r="I43" i="79"/>
  <c r="J43" i="79"/>
  <c r="G44" i="79"/>
  <c r="H44" i="79"/>
  <c r="I44" i="79"/>
  <c r="J44" i="79"/>
  <c r="H4" i="79"/>
  <c r="I4" i="79"/>
  <c r="J4" i="79"/>
  <c r="G4" i="79"/>
  <c r="G44" i="78"/>
  <c r="H44" i="78"/>
  <c r="I44" i="78"/>
  <c r="J44" i="78"/>
  <c r="G45" i="78"/>
  <c r="H45" i="78"/>
  <c r="I45" i="78"/>
  <c r="J45" i="78"/>
  <c r="G5" i="78"/>
  <c r="H5" i="78"/>
  <c r="I5" i="78"/>
  <c r="J5" i="78"/>
  <c r="G6" i="78"/>
  <c r="H6" i="78"/>
  <c r="I6" i="78"/>
  <c r="J6" i="78"/>
  <c r="G7" i="78"/>
  <c r="H7" i="78"/>
  <c r="I7" i="78"/>
  <c r="J7" i="78"/>
  <c r="G8" i="78"/>
  <c r="H8" i="78"/>
  <c r="I8" i="78"/>
  <c r="J8" i="78"/>
  <c r="G9" i="78"/>
  <c r="H9" i="78"/>
  <c r="I9" i="78"/>
  <c r="J9" i="78"/>
  <c r="G10" i="78"/>
  <c r="H10" i="78"/>
  <c r="I10" i="78"/>
  <c r="J10" i="78"/>
  <c r="G11" i="78"/>
  <c r="H11" i="78"/>
  <c r="I11" i="78"/>
  <c r="J11" i="78"/>
  <c r="G12" i="78"/>
  <c r="H12" i="78"/>
  <c r="I12" i="78"/>
  <c r="J12" i="78"/>
  <c r="G13" i="78"/>
  <c r="H13" i="78"/>
  <c r="I13" i="78"/>
  <c r="J13" i="78"/>
  <c r="G14" i="78"/>
  <c r="H14" i="78"/>
  <c r="I14" i="78"/>
  <c r="J14" i="78"/>
  <c r="G15" i="78"/>
  <c r="H15" i="78"/>
  <c r="I15" i="78"/>
  <c r="J15" i="78"/>
  <c r="G16" i="78"/>
  <c r="H16" i="78"/>
  <c r="I16" i="78"/>
  <c r="J16" i="78"/>
  <c r="G17" i="78"/>
  <c r="H17" i="78"/>
  <c r="I17" i="78"/>
  <c r="J17" i="78"/>
  <c r="G18" i="78"/>
  <c r="H18" i="78"/>
  <c r="I18" i="78"/>
  <c r="J18" i="78"/>
  <c r="G19" i="78"/>
  <c r="H19" i="78"/>
  <c r="I19" i="78"/>
  <c r="J19" i="78"/>
  <c r="G20" i="78"/>
  <c r="H20" i="78"/>
  <c r="I20" i="78"/>
  <c r="J20" i="78"/>
  <c r="G21" i="78"/>
  <c r="H21" i="78"/>
  <c r="I21" i="78"/>
  <c r="J21" i="78"/>
  <c r="G22" i="78"/>
  <c r="H22" i="78"/>
  <c r="I22" i="78"/>
  <c r="J22" i="78"/>
  <c r="G23" i="78"/>
  <c r="H23" i="78"/>
  <c r="I23" i="78"/>
  <c r="J23" i="78"/>
  <c r="G24" i="78"/>
  <c r="H24" i="78"/>
  <c r="I24" i="78"/>
  <c r="J24" i="78"/>
  <c r="G25" i="78"/>
  <c r="H25" i="78"/>
  <c r="I25" i="78"/>
  <c r="J25" i="78"/>
  <c r="G26" i="78"/>
  <c r="H26" i="78"/>
  <c r="I26" i="78"/>
  <c r="J26" i="78"/>
  <c r="G27" i="78"/>
  <c r="H27" i="78"/>
  <c r="I27" i="78"/>
  <c r="J27" i="78"/>
  <c r="G28" i="78"/>
  <c r="H28" i="78"/>
  <c r="I28" i="78"/>
  <c r="J28" i="78"/>
  <c r="G29" i="78"/>
  <c r="H29" i="78"/>
  <c r="I29" i="78"/>
  <c r="J29" i="78"/>
  <c r="G30" i="78"/>
  <c r="H30" i="78"/>
  <c r="I30" i="78"/>
  <c r="J30" i="78"/>
  <c r="G31" i="78"/>
  <c r="H31" i="78"/>
  <c r="I31" i="78"/>
  <c r="J31" i="78"/>
  <c r="G32" i="78"/>
  <c r="H32" i="78"/>
  <c r="I32" i="78"/>
  <c r="J32" i="78"/>
  <c r="G33" i="78"/>
  <c r="H33" i="78"/>
  <c r="I33" i="78"/>
  <c r="J33" i="78"/>
  <c r="G34" i="78"/>
  <c r="H34" i="78"/>
  <c r="I34" i="78"/>
  <c r="J34" i="78"/>
  <c r="G35" i="78"/>
  <c r="H35" i="78"/>
  <c r="I35" i="78"/>
  <c r="J35" i="78"/>
  <c r="G36" i="78"/>
  <c r="H36" i="78"/>
  <c r="I36" i="78"/>
  <c r="J36" i="78"/>
  <c r="G37" i="78"/>
  <c r="H37" i="78"/>
  <c r="I37" i="78"/>
  <c r="J37" i="78"/>
  <c r="G38" i="78"/>
  <c r="H38" i="78"/>
  <c r="I38" i="78"/>
  <c r="J38" i="78"/>
  <c r="G39" i="78"/>
  <c r="H39" i="78"/>
  <c r="I39" i="78"/>
  <c r="J39" i="78"/>
  <c r="H4" i="78"/>
  <c r="I4" i="78"/>
  <c r="J4" i="78"/>
  <c r="G4" i="78"/>
  <c r="I5" i="46"/>
  <c r="J5" i="46"/>
  <c r="K5" i="46"/>
  <c r="L5" i="46"/>
  <c r="M5" i="46"/>
  <c r="N5" i="46"/>
  <c r="I6" i="46"/>
  <c r="J6" i="46"/>
  <c r="K6" i="46"/>
  <c r="L6" i="46"/>
  <c r="M6" i="46"/>
  <c r="N6" i="46"/>
  <c r="I7" i="46"/>
  <c r="J7" i="46"/>
  <c r="K7" i="46"/>
  <c r="L7" i="46"/>
  <c r="M7" i="46"/>
  <c r="N7" i="46"/>
  <c r="I8" i="46"/>
  <c r="J8" i="46"/>
  <c r="K8" i="46"/>
  <c r="L8" i="46"/>
  <c r="M8" i="46"/>
  <c r="N8" i="46"/>
  <c r="I9" i="46"/>
  <c r="J9" i="46"/>
  <c r="K9" i="46"/>
  <c r="L9" i="46"/>
  <c r="M9" i="46"/>
  <c r="N9" i="46"/>
  <c r="I10" i="46"/>
  <c r="J10" i="46"/>
  <c r="K10" i="46"/>
  <c r="L10" i="46"/>
  <c r="M10" i="46"/>
  <c r="N10" i="46"/>
  <c r="I11" i="46"/>
  <c r="J11" i="46"/>
  <c r="K11" i="46"/>
  <c r="L11" i="46"/>
  <c r="M11" i="46"/>
  <c r="N11" i="46"/>
  <c r="I12" i="46"/>
  <c r="J12" i="46"/>
  <c r="K12" i="46"/>
  <c r="L12" i="46"/>
  <c r="M12" i="46"/>
  <c r="N12" i="46"/>
  <c r="I13" i="46"/>
  <c r="J13" i="46"/>
  <c r="K13" i="46"/>
  <c r="L13" i="46"/>
  <c r="M13" i="46"/>
  <c r="N13" i="46"/>
  <c r="I14" i="46"/>
  <c r="J14" i="46"/>
  <c r="K14" i="46"/>
  <c r="L14" i="46"/>
  <c r="M14" i="46"/>
  <c r="N14" i="46"/>
  <c r="I15" i="46"/>
  <c r="J15" i="46"/>
  <c r="K15" i="46"/>
  <c r="L15" i="46"/>
  <c r="M15" i="46"/>
  <c r="N15" i="46"/>
  <c r="I16" i="46"/>
  <c r="J16" i="46"/>
  <c r="K16" i="46"/>
  <c r="L16" i="46"/>
  <c r="M16" i="46"/>
  <c r="N16" i="46"/>
  <c r="I17" i="46"/>
  <c r="J17" i="46"/>
  <c r="K17" i="46"/>
  <c r="L17" i="46"/>
  <c r="M17" i="46"/>
  <c r="N17" i="46"/>
  <c r="I18" i="46"/>
  <c r="J18" i="46"/>
  <c r="K18" i="46"/>
  <c r="L18" i="46"/>
  <c r="M18" i="46"/>
  <c r="N18" i="46"/>
  <c r="I19" i="46"/>
  <c r="J19" i="46"/>
  <c r="K19" i="46"/>
  <c r="L19" i="46"/>
  <c r="M19" i="46"/>
  <c r="N19" i="46"/>
  <c r="I20" i="46"/>
  <c r="J20" i="46"/>
  <c r="K20" i="46"/>
  <c r="L20" i="46"/>
  <c r="M20" i="46"/>
  <c r="N20" i="46"/>
  <c r="I21" i="46"/>
  <c r="J21" i="46"/>
  <c r="K21" i="46"/>
  <c r="L21" i="46"/>
  <c r="M21" i="46"/>
  <c r="N21" i="46"/>
  <c r="I22" i="46"/>
  <c r="J22" i="46"/>
  <c r="K22" i="46"/>
  <c r="L22" i="46"/>
  <c r="M22" i="46"/>
  <c r="N22" i="46"/>
  <c r="J4" i="46"/>
  <c r="K4" i="46"/>
  <c r="L4" i="46"/>
  <c r="M4" i="46"/>
  <c r="N4" i="46"/>
  <c r="I4" i="46"/>
  <c r="I9" i="45"/>
  <c r="J9" i="45"/>
  <c r="K9" i="45"/>
  <c r="L9" i="45"/>
  <c r="M9" i="45"/>
  <c r="N9" i="45"/>
  <c r="I10" i="45"/>
  <c r="J10" i="45"/>
  <c r="K10" i="45"/>
  <c r="L10" i="45"/>
  <c r="M10" i="45"/>
  <c r="N10" i="45"/>
  <c r="I11" i="45"/>
  <c r="J11" i="45"/>
  <c r="K11" i="45"/>
  <c r="L11" i="45"/>
  <c r="M11" i="45"/>
  <c r="N11" i="45"/>
  <c r="I12" i="45"/>
  <c r="J12" i="45"/>
  <c r="K12" i="45"/>
  <c r="L12" i="45"/>
  <c r="M12" i="45"/>
  <c r="N12" i="45"/>
  <c r="I13" i="45"/>
  <c r="J13" i="45"/>
  <c r="K13" i="45"/>
  <c r="L13" i="45"/>
  <c r="M13" i="45"/>
  <c r="N13" i="45"/>
  <c r="I14" i="45"/>
  <c r="J14" i="45"/>
  <c r="K14" i="45"/>
  <c r="L14" i="45"/>
  <c r="M14" i="45"/>
  <c r="N14" i="45"/>
  <c r="I15" i="45"/>
  <c r="J15" i="45"/>
  <c r="K15" i="45"/>
  <c r="L15" i="45"/>
  <c r="M15" i="45"/>
  <c r="N15" i="45"/>
  <c r="I16" i="45"/>
  <c r="J16" i="45"/>
  <c r="K16" i="45"/>
  <c r="L16" i="45"/>
  <c r="M16" i="45"/>
  <c r="N16" i="45"/>
  <c r="I17" i="45"/>
  <c r="J17" i="45"/>
  <c r="K17" i="45"/>
  <c r="L17" i="45"/>
  <c r="M17" i="45"/>
  <c r="N17" i="45"/>
  <c r="I18" i="45"/>
  <c r="J18" i="45"/>
  <c r="K18" i="45"/>
  <c r="L18" i="45"/>
  <c r="M18" i="45"/>
  <c r="N18" i="45"/>
  <c r="I19" i="45"/>
  <c r="J19" i="45"/>
  <c r="K19" i="45"/>
  <c r="L19" i="45"/>
  <c r="M19" i="45"/>
  <c r="N19" i="45"/>
  <c r="I20" i="45"/>
  <c r="J20" i="45"/>
  <c r="K20" i="45"/>
  <c r="L20" i="45"/>
  <c r="M20" i="45"/>
  <c r="N20" i="45"/>
  <c r="I21" i="45"/>
  <c r="J21" i="45"/>
  <c r="K21" i="45"/>
  <c r="L21" i="45"/>
  <c r="M21" i="45"/>
  <c r="N21" i="45"/>
  <c r="I22" i="45"/>
  <c r="J22" i="45"/>
  <c r="K22" i="45"/>
  <c r="L22" i="45"/>
  <c r="M22" i="45"/>
  <c r="N22" i="45"/>
  <c r="I23" i="45"/>
  <c r="J23" i="45"/>
  <c r="K23" i="45"/>
  <c r="L23" i="45"/>
  <c r="M23" i="45"/>
  <c r="N23" i="45"/>
  <c r="I24" i="45"/>
  <c r="J24" i="45"/>
  <c r="K24" i="45"/>
  <c r="L24" i="45"/>
  <c r="M24" i="45"/>
  <c r="N24" i="45"/>
  <c r="I25" i="45"/>
  <c r="J25" i="45"/>
  <c r="K25" i="45"/>
  <c r="L25" i="45"/>
  <c r="M25" i="45"/>
  <c r="N25" i="45"/>
  <c r="I26" i="45"/>
  <c r="J26" i="45"/>
  <c r="K26" i="45"/>
  <c r="L26" i="45"/>
  <c r="M26" i="45"/>
  <c r="N26" i="45"/>
  <c r="I27" i="45"/>
  <c r="J27" i="45"/>
  <c r="K27" i="45"/>
  <c r="L27" i="45"/>
  <c r="M27" i="45"/>
  <c r="N27" i="45"/>
  <c r="I28" i="45"/>
  <c r="J28" i="45"/>
  <c r="K28" i="45"/>
  <c r="L28" i="45"/>
  <c r="M28" i="45"/>
  <c r="N28" i="45"/>
  <c r="I29" i="45"/>
  <c r="J29" i="45"/>
  <c r="K29" i="45"/>
  <c r="L29" i="45"/>
  <c r="M29" i="45"/>
  <c r="N29" i="45"/>
  <c r="I30" i="45"/>
  <c r="J30" i="45"/>
  <c r="K30" i="45"/>
  <c r="L30" i="45"/>
  <c r="M30" i="45"/>
  <c r="N30" i="45"/>
  <c r="I31" i="45"/>
  <c r="J31" i="45"/>
  <c r="K31" i="45"/>
  <c r="L31" i="45"/>
  <c r="M31" i="45"/>
  <c r="N31" i="45"/>
  <c r="I32" i="45"/>
  <c r="J32" i="45"/>
  <c r="K32" i="45"/>
  <c r="L32" i="45"/>
  <c r="M32" i="45"/>
  <c r="N32" i="45"/>
  <c r="I33" i="45"/>
  <c r="J33" i="45"/>
  <c r="K33" i="45"/>
  <c r="L33" i="45"/>
  <c r="M33" i="45"/>
  <c r="N33" i="45"/>
  <c r="I34" i="45"/>
  <c r="J34" i="45"/>
  <c r="K34" i="45"/>
  <c r="L34" i="45"/>
  <c r="M34" i="45"/>
  <c r="N34" i="45"/>
  <c r="I35" i="45"/>
  <c r="J35" i="45"/>
  <c r="K35" i="45"/>
  <c r="L35" i="45"/>
  <c r="M35" i="45"/>
  <c r="N35" i="45"/>
  <c r="I36" i="45"/>
  <c r="J36" i="45"/>
  <c r="K36" i="45"/>
  <c r="L36" i="45"/>
  <c r="M36" i="45"/>
  <c r="N36" i="45"/>
  <c r="I37" i="45"/>
  <c r="J37" i="45"/>
  <c r="K37" i="45"/>
  <c r="L37" i="45"/>
  <c r="M37" i="45"/>
  <c r="N37" i="45"/>
  <c r="I8" i="45"/>
  <c r="J8" i="45"/>
  <c r="K8" i="45"/>
  <c r="L8" i="45"/>
  <c r="M8" i="45"/>
  <c r="N8" i="45"/>
  <c r="I6" i="45"/>
  <c r="J6" i="45"/>
  <c r="K6" i="45"/>
  <c r="L6" i="45"/>
  <c r="M6" i="45"/>
  <c r="N6" i="45"/>
  <c r="I7" i="45"/>
  <c r="J7" i="45"/>
  <c r="K7" i="45"/>
  <c r="L7" i="45"/>
  <c r="M7" i="45"/>
  <c r="N7" i="45"/>
  <c r="J5" i="45"/>
  <c r="K5" i="45"/>
  <c r="L5" i="45"/>
  <c r="M5" i="45"/>
  <c r="N5" i="45"/>
  <c r="I5" i="45"/>
  <c r="I6" i="44"/>
  <c r="J6" i="44"/>
  <c r="K6" i="44"/>
  <c r="L6" i="44"/>
  <c r="M6" i="44"/>
  <c r="N6" i="44"/>
  <c r="I7" i="44"/>
  <c r="J7" i="44"/>
  <c r="K7" i="44"/>
  <c r="L7" i="44"/>
  <c r="M7" i="44"/>
  <c r="N7" i="44"/>
  <c r="I8" i="44"/>
  <c r="J8" i="44"/>
  <c r="K8" i="44"/>
  <c r="L8" i="44"/>
  <c r="M8" i="44"/>
  <c r="N8" i="44"/>
  <c r="I9" i="44"/>
  <c r="J9" i="44"/>
  <c r="K9" i="44"/>
  <c r="L9" i="44"/>
  <c r="M9" i="44"/>
  <c r="N9" i="44"/>
  <c r="I10" i="44"/>
  <c r="J10" i="44"/>
  <c r="K10" i="44"/>
  <c r="L10" i="44"/>
  <c r="M10" i="44"/>
  <c r="N10" i="44"/>
  <c r="I11" i="44"/>
  <c r="J11" i="44"/>
  <c r="K11" i="44"/>
  <c r="L11" i="44"/>
  <c r="M11" i="44"/>
  <c r="N11" i="44"/>
  <c r="I12" i="44"/>
  <c r="J12" i="44"/>
  <c r="K12" i="44"/>
  <c r="L12" i="44"/>
  <c r="M12" i="44"/>
  <c r="N12" i="44"/>
  <c r="I13" i="44"/>
  <c r="J13" i="44"/>
  <c r="K13" i="44"/>
  <c r="L13" i="44"/>
  <c r="M13" i="44"/>
  <c r="N13" i="44"/>
  <c r="I14" i="44"/>
  <c r="J14" i="44"/>
  <c r="K14" i="44"/>
  <c r="L14" i="44"/>
  <c r="M14" i="44"/>
  <c r="N14" i="44"/>
  <c r="I15" i="44"/>
  <c r="J15" i="44"/>
  <c r="K15" i="44"/>
  <c r="L15" i="44"/>
  <c r="M15" i="44"/>
  <c r="N15" i="44"/>
  <c r="I16" i="44"/>
  <c r="J16" i="44"/>
  <c r="K16" i="44"/>
  <c r="L16" i="44"/>
  <c r="M16" i="44"/>
  <c r="N16" i="44"/>
  <c r="I17" i="44"/>
  <c r="J17" i="44"/>
  <c r="K17" i="44"/>
  <c r="L17" i="44"/>
  <c r="M17" i="44"/>
  <c r="N17" i="44"/>
  <c r="I18" i="44"/>
  <c r="J18" i="44"/>
  <c r="K18" i="44"/>
  <c r="L18" i="44"/>
  <c r="M18" i="44"/>
  <c r="N18" i="44"/>
  <c r="I19" i="44"/>
  <c r="J19" i="44"/>
  <c r="K19" i="44"/>
  <c r="L19" i="44"/>
  <c r="M19" i="44"/>
  <c r="N19" i="44"/>
  <c r="I20" i="44"/>
  <c r="J20" i="44"/>
  <c r="K20" i="44"/>
  <c r="L20" i="44"/>
  <c r="M20" i="44"/>
  <c r="N20" i="44"/>
  <c r="I21" i="44"/>
  <c r="J21" i="44"/>
  <c r="K21" i="44"/>
  <c r="L21" i="44"/>
  <c r="M21" i="44"/>
  <c r="N21" i="44"/>
  <c r="I22" i="44"/>
  <c r="J22" i="44"/>
  <c r="K22" i="44"/>
  <c r="L22" i="44"/>
  <c r="M22" i="44"/>
  <c r="N22" i="44"/>
  <c r="I23" i="44"/>
  <c r="J23" i="44"/>
  <c r="K23" i="44"/>
  <c r="L23" i="44"/>
  <c r="M23" i="44"/>
  <c r="N23" i="44"/>
  <c r="I24" i="44"/>
  <c r="J24" i="44"/>
  <c r="K24" i="44"/>
  <c r="L24" i="44"/>
  <c r="M24" i="44"/>
  <c r="N24" i="44"/>
  <c r="I25" i="44"/>
  <c r="J25" i="44"/>
  <c r="K25" i="44"/>
  <c r="L25" i="44"/>
  <c r="M25" i="44"/>
  <c r="N25" i="44"/>
  <c r="I26" i="44"/>
  <c r="J26" i="44"/>
  <c r="K26" i="44"/>
  <c r="L26" i="44"/>
  <c r="M26" i="44"/>
  <c r="N26" i="44"/>
  <c r="I27" i="44"/>
  <c r="J27" i="44"/>
  <c r="K27" i="44"/>
  <c r="L27" i="44"/>
  <c r="M27" i="44"/>
  <c r="N27" i="44"/>
  <c r="I28" i="44"/>
  <c r="J28" i="44"/>
  <c r="K28" i="44"/>
  <c r="L28" i="44"/>
  <c r="M28" i="44"/>
  <c r="N28" i="44"/>
  <c r="I29" i="44"/>
  <c r="J29" i="44"/>
  <c r="K29" i="44"/>
  <c r="L29" i="44"/>
  <c r="M29" i="44"/>
  <c r="N29" i="44"/>
  <c r="I30" i="44"/>
  <c r="J30" i="44"/>
  <c r="K30" i="44"/>
  <c r="L30" i="44"/>
  <c r="M30" i="44"/>
  <c r="N30" i="44"/>
  <c r="I31" i="44"/>
  <c r="J31" i="44"/>
  <c r="K31" i="44"/>
  <c r="L31" i="44"/>
  <c r="M31" i="44"/>
  <c r="N31" i="44"/>
  <c r="I32" i="44"/>
  <c r="J32" i="44"/>
  <c r="K32" i="44"/>
  <c r="L32" i="44"/>
  <c r="M32" i="44"/>
  <c r="N32" i="44"/>
  <c r="I33" i="44"/>
  <c r="J33" i="44"/>
  <c r="K33" i="44"/>
  <c r="L33" i="44"/>
  <c r="M33" i="44"/>
  <c r="N33" i="44"/>
  <c r="I34" i="44"/>
  <c r="J34" i="44"/>
  <c r="K34" i="44"/>
  <c r="L34" i="44"/>
  <c r="M34" i="44"/>
  <c r="N34" i="44"/>
  <c r="I35" i="44"/>
  <c r="J35" i="44"/>
  <c r="K35" i="44"/>
  <c r="L35" i="44"/>
  <c r="M35" i="44"/>
  <c r="N35" i="44"/>
  <c r="I36" i="44"/>
  <c r="J36" i="44"/>
  <c r="K36" i="44"/>
  <c r="L36" i="44"/>
  <c r="M36" i="44"/>
  <c r="N36" i="44"/>
  <c r="I37" i="44"/>
  <c r="J37" i="44"/>
  <c r="K37" i="44"/>
  <c r="L37" i="44"/>
  <c r="M37" i="44"/>
  <c r="N37" i="44"/>
  <c r="I38" i="44"/>
  <c r="J38" i="44"/>
  <c r="K38" i="44"/>
  <c r="L38" i="44"/>
  <c r="M38" i="44"/>
  <c r="N38" i="44"/>
  <c r="I39" i="44"/>
  <c r="J39" i="44"/>
  <c r="K39" i="44"/>
  <c r="L39" i="44"/>
  <c r="M39" i="44"/>
  <c r="N39" i="44"/>
  <c r="I40" i="44"/>
  <c r="J40" i="44"/>
  <c r="K40" i="44"/>
  <c r="L40" i="44"/>
  <c r="M40" i="44"/>
  <c r="N40" i="44"/>
  <c r="J5" i="44"/>
  <c r="K5" i="44"/>
  <c r="L5" i="44"/>
  <c r="M5" i="44"/>
  <c r="N5" i="44"/>
  <c r="I5" i="44"/>
  <c r="I6" i="43"/>
  <c r="J6" i="43"/>
  <c r="K6" i="43"/>
  <c r="L6" i="43"/>
  <c r="M6" i="43"/>
  <c r="N6" i="43"/>
  <c r="I7" i="43"/>
  <c r="J7" i="43"/>
  <c r="K7" i="43"/>
  <c r="L7" i="43"/>
  <c r="M7" i="43"/>
  <c r="N7" i="43"/>
  <c r="I8" i="43"/>
  <c r="J8" i="43"/>
  <c r="K8" i="43"/>
  <c r="L8" i="43"/>
  <c r="M8" i="43"/>
  <c r="N8" i="43"/>
  <c r="I9" i="43"/>
  <c r="J9" i="43"/>
  <c r="K9" i="43"/>
  <c r="L9" i="43"/>
  <c r="M9" i="43"/>
  <c r="N9" i="43"/>
  <c r="I10" i="43"/>
  <c r="J10" i="43"/>
  <c r="K10" i="43"/>
  <c r="L10" i="43"/>
  <c r="M10" i="43"/>
  <c r="N10" i="43"/>
  <c r="I11" i="43"/>
  <c r="J11" i="43"/>
  <c r="K11" i="43"/>
  <c r="L11" i="43"/>
  <c r="M11" i="43"/>
  <c r="N11" i="43"/>
  <c r="I12" i="43"/>
  <c r="J12" i="43"/>
  <c r="K12" i="43"/>
  <c r="L12" i="43"/>
  <c r="M12" i="43"/>
  <c r="N12" i="43"/>
  <c r="I13" i="43"/>
  <c r="J13" i="43"/>
  <c r="K13" i="43"/>
  <c r="L13" i="43"/>
  <c r="M13" i="43"/>
  <c r="N13" i="43"/>
  <c r="I14" i="43"/>
  <c r="J14" i="43"/>
  <c r="K14" i="43"/>
  <c r="L14" i="43"/>
  <c r="M14" i="43"/>
  <c r="N14" i="43"/>
  <c r="I15" i="43"/>
  <c r="J15" i="43"/>
  <c r="K15" i="43"/>
  <c r="L15" i="43"/>
  <c r="M15" i="43"/>
  <c r="N15" i="43"/>
  <c r="I16" i="43"/>
  <c r="J16" i="43"/>
  <c r="K16" i="43"/>
  <c r="L16" i="43"/>
  <c r="M16" i="43"/>
  <c r="N16" i="43"/>
  <c r="I17" i="43"/>
  <c r="J17" i="43"/>
  <c r="K17" i="43"/>
  <c r="L17" i="43"/>
  <c r="M17" i="43"/>
  <c r="N17" i="43"/>
  <c r="I18" i="43"/>
  <c r="J18" i="43"/>
  <c r="K18" i="43"/>
  <c r="L18" i="43"/>
  <c r="M18" i="43"/>
  <c r="N18" i="43"/>
  <c r="I19" i="43"/>
  <c r="J19" i="43"/>
  <c r="K19" i="43"/>
  <c r="L19" i="43"/>
  <c r="M19" i="43"/>
  <c r="N19" i="43"/>
  <c r="I20" i="43"/>
  <c r="J20" i="43"/>
  <c r="K20" i="43"/>
  <c r="L20" i="43"/>
  <c r="M20" i="43"/>
  <c r="N20" i="43"/>
  <c r="I21" i="43"/>
  <c r="J21" i="43"/>
  <c r="K21" i="43"/>
  <c r="L21" i="43"/>
  <c r="M21" i="43"/>
  <c r="N21" i="43"/>
  <c r="I22" i="43"/>
  <c r="J22" i="43"/>
  <c r="K22" i="43"/>
  <c r="L22" i="43"/>
  <c r="M22" i="43"/>
  <c r="N22" i="43"/>
  <c r="I23" i="43"/>
  <c r="J23" i="43"/>
  <c r="K23" i="43"/>
  <c r="L23" i="43"/>
  <c r="M23" i="43"/>
  <c r="N23" i="43"/>
  <c r="I24" i="43"/>
  <c r="J24" i="43"/>
  <c r="K24" i="43"/>
  <c r="L24" i="43"/>
  <c r="M24" i="43"/>
  <c r="N24" i="43"/>
  <c r="I25" i="43"/>
  <c r="J25" i="43"/>
  <c r="K25" i="43"/>
  <c r="L25" i="43"/>
  <c r="M25" i="43"/>
  <c r="N25" i="43"/>
  <c r="I26" i="43"/>
  <c r="J26" i="43"/>
  <c r="K26" i="43"/>
  <c r="L26" i="43"/>
  <c r="M26" i="43"/>
  <c r="N26" i="43"/>
  <c r="I27" i="43"/>
  <c r="J27" i="43"/>
  <c r="K27" i="43"/>
  <c r="L27" i="43"/>
  <c r="M27" i="43"/>
  <c r="N27" i="43"/>
  <c r="I28" i="43"/>
  <c r="J28" i="43"/>
  <c r="K28" i="43"/>
  <c r="L28" i="43"/>
  <c r="M28" i="43"/>
  <c r="N28" i="43"/>
  <c r="I29" i="43"/>
  <c r="J29" i="43"/>
  <c r="K29" i="43"/>
  <c r="L29" i="43"/>
  <c r="M29" i="43"/>
  <c r="N29" i="43"/>
  <c r="I30" i="43"/>
  <c r="J30" i="43"/>
  <c r="K30" i="43"/>
  <c r="L30" i="43"/>
  <c r="M30" i="43"/>
  <c r="N30" i="43"/>
  <c r="I31" i="43"/>
  <c r="J31" i="43"/>
  <c r="K31" i="43"/>
  <c r="L31" i="43"/>
  <c r="M31" i="43"/>
  <c r="N31" i="43"/>
  <c r="I32" i="43"/>
  <c r="J32" i="43"/>
  <c r="K32" i="43"/>
  <c r="L32" i="43"/>
  <c r="M32" i="43"/>
  <c r="N32" i="43"/>
  <c r="I33" i="43"/>
  <c r="J33" i="43"/>
  <c r="K33" i="43"/>
  <c r="L33" i="43"/>
  <c r="M33" i="43"/>
  <c r="N33" i="43"/>
  <c r="I34" i="43"/>
  <c r="J34" i="43"/>
  <c r="K34" i="43"/>
  <c r="L34" i="43"/>
  <c r="M34" i="43"/>
  <c r="N34" i="43"/>
  <c r="I35" i="43"/>
  <c r="J35" i="43"/>
  <c r="K35" i="43"/>
  <c r="L35" i="43"/>
  <c r="M35" i="43"/>
  <c r="N35" i="43"/>
  <c r="I36" i="43"/>
  <c r="J36" i="43"/>
  <c r="K36" i="43"/>
  <c r="L36" i="43"/>
  <c r="M36" i="43"/>
  <c r="N36" i="43"/>
  <c r="I37" i="43"/>
  <c r="J37" i="43"/>
  <c r="K37" i="43"/>
  <c r="L37" i="43"/>
  <c r="M37" i="43"/>
  <c r="N37" i="43"/>
  <c r="I38" i="43"/>
  <c r="J38" i="43"/>
  <c r="K38" i="43"/>
  <c r="L38" i="43"/>
  <c r="M38" i="43"/>
  <c r="N38" i="43"/>
  <c r="J5" i="43"/>
  <c r="K5" i="43"/>
  <c r="L5" i="43"/>
  <c r="M5" i="43"/>
  <c r="N5" i="43"/>
  <c r="I5" i="43"/>
  <c r="I6" i="42"/>
  <c r="J6" i="42"/>
  <c r="K6" i="42"/>
  <c r="L6" i="42"/>
  <c r="M6" i="42"/>
  <c r="N6" i="42"/>
  <c r="I7" i="42"/>
  <c r="J7" i="42"/>
  <c r="K7" i="42"/>
  <c r="L7" i="42"/>
  <c r="M7" i="42"/>
  <c r="N7" i="42"/>
  <c r="I8" i="42"/>
  <c r="J8" i="42"/>
  <c r="K8" i="42"/>
  <c r="L8" i="42"/>
  <c r="M8" i="42"/>
  <c r="N8" i="42"/>
  <c r="I9" i="42"/>
  <c r="J9" i="42"/>
  <c r="K9" i="42"/>
  <c r="L9" i="42"/>
  <c r="M9" i="42"/>
  <c r="N9" i="42"/>
  <c r="I10" i="42"/>
  <c r="J10" i="42"/>
  <c r="K10" i="42"/>
  <c r="L10" i="42"/>
  <c r="M10" i="42"/>
  <c r="N10" i="42"/>
  <c r="I11" i="42"/>
  <c r="J11" i="42"/>
  <c r="K11" i="42"/>
  <c r="L11" i="42"/>
  <c r="M11" i="42"/>
  <c r="N11" i="42"/>
  <c r="I12" i="42"/>
  <c r="J12" i="42"/>
  <c r="K12" i="42"/>
  <c r="L12" i="42"/>
  <c r="M12" i="42"/>
  <c r="N12" i="42"/>
  <c r="I13" i="42"/>
  <c r="J13" i="42"/>
  <c r="K13" i="42"/>
  <c r="L13" i="42"/>
  <c r="M13" i="42"/>
  <c r="N13" i="42"/>
  <c r="I14" i="42"/>
  <c r="J14" i="42"/>
  <c r="K14" i="42"/>
  <c r="L14" i="42"/>
  <c r="M14" i="42"/>
  <c r="N14" i="42"/>
  <c r="I15" i="42"/>
  <c r="J15" i="42"/>
  <c r="K15" i="42"/>
  <c r="L15" i="42"/>
  <c r="M15" i="42"/>
  <c r="N15" i="42"/>
  <c r="I16" i="42"/>
  <c r="J16" i="42"/>
  <c r="K16" i="42"/>
  <c r="L16" i="42"/>
  <c r="M16" i="42"/>
  <c r="N16" i="42"/>
  <c r="I17" i="42"/>
  <c r="J17" i="42"/>
  <c r="K17" i="42"/>
  <c r="L17" i="42"/>
  <c r="M17" i="42"/>
  <c r="N17" i="42"/>
  <c r="I18" i="42"/>
  <c r="J18" i="42"/>
  <c r="K18" i="42"/>
  <c r="L18" i="42"/>
  <c r="M18" i="42"/>
  <c r="N18" i="42"/>
  <c r="I19" i="42"/>
  <c r="J19" i="42"/>
  <c r="K19" i="42"/>
  <c r="L19" i="42"/>
  <c r="M19" i="42"/>
  <c r="N19" i="42"/>
  <c r="I20" i="42"/>
  <c r="J20" i="42"/>
  <c r="K20" i="42"/>
  <c r="L20" i="42"/>
  <c r="M20" i="42"/>
  <c r="N20" i="42"/>
  <c r="I21" i="42"/>
  <c r="J21" i="42"/>
  <c r="K21" i="42"/>
  <c r="L21" i="42"/>
  <c r="M21" i="42"/>
  <c r="N21" i="42"/>
  <c r="I22" i="42"/>
  <c r="J22" i="42"/>
  <c r="K22" i="42"/>
  <c r="L22" i="42"/>
  <c r="M22" i="42"/>
  <c r="N22" i="42"/>
  <c r="I23" i="42"/>
  <c r="J23" i="42"/>
  <c r="K23" i="42"/>
  <c r="L23" i="42"/>
  <c r="M23" i="42"/>
  <c r="N23" i="42"/>
  <c r="I24" i="42"/>
  <c r="J24" i="42"/>
  <c r="K24" i="42"/>
  <c r="L24" i="42"/>
  <c r="M24" i="42"/>
  <c r="N24" i="42"/>
  <c r="I25" i="42"/>
  <c r="J25" i="42"/>
  <c r="K25" i="42"/>
  <c r="L25" i="42"/>
  <c r="M25" i="42"/>
  <c r="N25" i="42"/>
  <c r="I26" i="42"/>
  <c r="J26" i="42"/>
  <c r="K26" i="42"/>
  <c r="L26" i="42"/>
  <c r="M26" i="42"/>
  <c r="N26" i="42"/>
  <c r="I27" i="42"/>
  <c r="J27" i="42"/>
  <c r="K27" i="42"/>
  <c r="L27" i="42"/>
  <c r="M27" i="42"/>
  <c r="N27" i="42"/>
  <c r="I28" i="42"/>
  <c r="J28" i="42"/>
  <c r="K28" i="42"/>
  <c r="L28" i="42"/>
  <c r="M28" i="42"/>
  <c r="N28" i="42"/>
  <c r="I29" i="42"/>
  <c r="J29" i="42"/>
  <c r="K29" i="42"/>
  <c r="L29" i="42"/>
  <c r="M29" i="42"/>
  <c r="N29" i="42"/>
  <c r="I30" i="42"/>
  <c r="J30" i="42"/>
  <c r="K30" i="42"/>
  <c r="L30" i="42"/>
  <c r="M30" i="42"/>
  <c r="N30" i="42"/>
  <c r="I31" i="42"/>
  <c r="J31" i="42"/>
  <c r="K31" i="42"/>
  <c r="L31" i="42"/>
  <c r="M31" i="42"/>
  <c r="N31" i="42"/>
  <c r="I32" i="42"/>
  <c r="J32" i="42"/>
  <c r="K32" i="42"/>
  <c r="L32" i="42"/>
  <c r="M32" i="42"/>
  <c r="N32" i="42"/>
  <c r="I33" i="42"/>
  <c r="J33" i="42"/>
  <c r="K33" i="42"/>
  <c r="L33" i="42"/>
  <c r="M33" i="42"/>
  <c r="N33" i="42"/>
  <c r="I34" i="42"/>
  <c r="J34" i="42"/>
  <c r="K34" i="42"/>
  <c r="L34" i="42"/>
  <c r="M34" i="42"/>
  <c r="N34" i="42"/>
  <c r="I35" i="42"/>
  <c r="J35" i="42"/>
  <c r="K35" i="42"/>
  <c r="L35" i="42"/>
  <c r="M35" i="42"/>
  <c r="N35" i="42"/>
  <c r="I36" i="42"/>
  <c r="J36" i="42"/>
  <c r="K36" i="42"/>
  <c r="L36" i="42"/>
  <c r="M36" i="42"/>
  <c r="N36" i="42"/>
  <c r="I37" i="42"/>
  <c r="J37" i="42"/>
  <c r="K37" i="42"/>
  <c r="L37" i="42"/>
  <c r="M37" i="42"/>
  <c r="N37" i="42"/>
  <c r="I38" i="42"/>
  <c r="J38" i="42"/>
  <c r="K38" i="42"/>
  <c r="L38" i="42"/>
  <c r="M38" i="42"/>
  <c r="N38" i="42"/>
  <c r="J5" i="42"/>
  <c r="K5" i="42"/>
  <c r="L5" i="42"/>
  <c r="M5" i="42"/>
  <c r="N5" i="42"/>
  <c r="I5" i="42"/>
  <c r="I6" i="41"/>
  <c r="J6" i="41"/>
  <c r="K6" i="41"/>
  <c r="L6" i="41"/>
  <c r="M6" i="41"/>
  <c r="N6" i="41"/>
  <c r="I7" i="41"/>
  <c r="J7" i="41"/>
  <c r="K7" i="41"/>
  <c r="L7" i="41"/>
  <c r="M7" i="41"/>
  <c r="N7" i="41"/>
  <c r="I8" i="41"/>
  <c r="J8" i="41"/>
  <c r="K8" i="41"/>
  <c r="L8" i="41"/>
  <c r="M8" i="41"/>
  <c r="N8" i="41"/>
  <c r="I9" i="41"/>
  <c r="J9" i="41"/>
  <c r="K9" i="41"/>
  <c r="L9" i="41"/>
  <c r="M9" i="41"/>
  <c r="N9" i="41"/>
  <c r="I10" i="41"/>
  <c r="J10" i="41"/>
  <c r="K10" i="41"/>
  <c r="L10" i="41"/>
  <c r="M10" i="41"/>
  <c r="N10" i="41"/>
  <c r="I11" i="41"/>
  <c r="J11" i="41"/>
  <c r="K11" i="41"/>
  <c r="L11" i="41"/>
  <c r="M11" i="41"/>
  <c r="N11" i="41"/>
  <c r="I12" i="41"/>
  <c r="J12" i="41"/>
  <c r="K12" i="41"/>
  <c r="L12" i="41"/>
  <c r="M12" i="41"/>
  <c r="N12" i="41"/>
  <c r="I13" i="41"/>
  <c r="J13" i="41"/>
  <c r="K13" i="41"/>
  <c r="L13" i="41"/>
  <c r="M13" i="41"/>
  <c r="N13" i="41"/>
  <c r="I14" i="41"/>
  <c r="J14" i="41"/>
  <c r="K14" i="41"/>
  <c r="L14" i="41"/>
  <c r="M14" i="41"/>
  <c r="N14" i="41"/>
  <c r="I15" i="41"/>
  <c r="J15" i="41"/>
  <c r="K15" i="41"/>
  <c r="L15" i="41"/>
  <c r="M15" i="41"/>
  <c r="N15" i="41"/>
  <c r="I16" i="41"/>
  <c r="J16" i="41"/>
  <c r="K16" i="41"/>
  <c r="L16" i="41"/>
  <c r="M16" i="41"/>
  <c r="N16" i="41"/>
  <c r="I17" i="41"/>
  <c r="J17" i="41"/>
  <c r="K17" i="41"/>
  <c r="L17" i="41"/>
  <c r="M17" i="41"/>
  <c r="N17" i="41"/>
  <c r="I18" i="41"/>
  <c r="J18" i="41"/>
  <c r="K18" i="41"/>
  <c r="L18" i="41"/>
  <c r="M18" i="41"/>
  <c r="N18" i="41"/>
  <c r="I19" i="41"/>
  <c r="J19" i="41"/>
  <c r="K19" i="41"/>
  <c r="L19" i="41"/>
  <c r="M19" i="41"/>
  <c r="N19" i="41"/>
  <c r="I20" i="41"/>
  <c r="J20" i="41"/>
  <c r="K20" i="41"/>
  <c r="L20" i="41"/>
  <c r="M20" i="41"/>
  <c r="N20" i="41"/>
  <c r="I21" i="41"/>
  <c r="J21" i="41"/>
  <c r="K21" i="41"/>
  <c r="L21" i="41"/>
  <c r="M21" i="41"/>
  <c r="N21" i="41"/>
  <c r="I22" i="41"/>
  <c r="J22" i="41"/>
  <c r="K22" i="41"/>
  <c r="L22" i="41"/>
  <c r="M22" i="41"/>
  <c r="N22" i="41"/>
  <c r="I23" i="41"/>
  <c r="J23" i="41"/>
  <c r="K23" i="41"/>
  <c r="L23" i="41"/>
  <c r="M23" i="41"/>
  <c r="N23" i="41"/>
  <c r="I24" i="41"/>
  <c r="J24" i="41"/>
  <c r="K24" i="41"/>
  <c r="L24" i="41"/>
  <c r="M24" i="41"/>
  <c r="N24" i="41"/>
  <c r="I25" i="41"/>
  <c r="J25" i="41"/>
  <c r="K25" i="41"/>
  <c r="L25" i="41"/>
  <c r="M25" i="41"/>
  <c r="N25" i="41"/>
  <c r="I26" i="41"/>
  <c r="J26" i="41"/>
  <c r="K26" i="41"/>
  <c r="L26" i="41"/>
  <c r="M26" i="41"/>
  <c r="N26" i="41"/>
  <c r="I27" i="41"/>
  <c r="J27" i="41"/>
  <c r="K27" i="41"/>
  <c r="L27" i="41"/>
  <c r="M27" i="41"/>
  <c r="N27" i="41"/>
  <c r="I28" i="41"/>
  <c r="J28" i="41"/>
  <c r="K28" i="41"/>
  <c r="L28" i="41"/>
  <c r="M28" i="41"/>
  <c r="N28" i="41"/>
  <c r="I29" i="41"/>
  <c r="J29" i="41"/>
  <c r="K29" i="41"/>
  <c r="L29" i="41"/>
  <c r="M29" i="41"/>
  <c r="N29" i="41"/>
  <c r="I30" i="41"/>
  <c r="J30" i="41"/>
  <c r="K30" i="41"/>
  <c r="L30" i="41"/>
  <c r="M30" i="41"/>
  <c r="N30" i="41"/>
  <c r="I31" i="41"/>
  <c r="J31" i="41"/>
  <c r="K31" i="41"/>
  <c r="L31" i="41"/>
  <c r="M31" i="41"/>
  <c r="N31" i="41"/>
  <c r="I32" i="41"/>
  <c r="J32" i="41"/>
  <c r="K32" i="41"/>
  <c r="L32" i="41"/>
  <c r="M32" i="41"/>
  <c r="N32" i="41"/>
  <c r="I33" i="41"/>
  <c r="J33" i="41"/>
  <c r="K33" i="41"/>
  <c r="L33" i="41"/>
  <c r="M33" i="41"/>
  <c r="N33" i="41"/>
  <c r="I34" i="41"/>
  <c r="J34" i="41"/>
  <c r="K34" i="41"/>
  <c r="L34" i="41"/>
  <c r="M34" i="41"/>
  <c r="N34" i="41"/>
  <c r="I35" i="41"/>
  <c r="J35" i="41"/>
  <c r="K35" i="41"/>
  <c r="L35" i="41"/>
  <c r="M35" i="41"/>
  <c r="N35" i="41"/>
  <c r="I36" i="41"/>
  <c r="J36" i="41"/>
  <c r="K36" i="41"/>
  <c r="L36" i="41"/>
  <c r="M36" i="41"/>
  <c r="N36" i="41"/>
  <c r="I37" i="41"/>
  <c r="J37" i="41"/>
  <c r="K37" i="41"/>
  <c r="L37" i="41"/>
  <c r="M37" i="41"/>
  <c r="N37" i="41"/>
  <c r="I38" i="41"/>
  <c r="J38" i="41"/>
  <c r="K38" i="41"/>
  <c r="L38" i="41"/>
  <c r="M38" i="41"/>
  <c r="N38" i="41"/>
  <c r="I39" i="41"/>
  <c r="J39" i="41"/>
  <c r="K39" i="41"/>
  <c r="L39" i="41"/>
  <c r="M39" i="41"/>
  <c r="N39" i="41"/>
  <c r="I40" i="41"/>
  <c r="J40" i="41"/>
  <c r="K40" i="41"/>
  <c r="L40" i="41"/>
  <c r="M40" i="41"/>
  <c r="N40" i="41"/>
  <c r="J5" i="41"/>
  <c r="K5" i="41"/>
  <c r="L5" i="41"/>
  <c r="M5" i="41"/>
  <c r="N5" i="41"/>
  <c r="I5" i="41"/>
  <c r="Q6" i="40"/>
  <c r="R6" i="40"/>
  <c r="S6" i="40"/>
  <c r="T6" i="40"/>
  <c r="U6" i="40"/>
  <c r="V6" i="40"/>
  <c r="W6" i="40"/>
  <c r="X6" i="40"/>
  <c r="Y6" i="40"/>
  <c r="Z6" i="40"/>
  <c r="AA6" i="40"/>
  <c r="Q7" i="40"/>
  <c r="R7" i="40"/>
  <c r="S7" i="40"/>
  <c r="T7" i="40"/>
  <c r="U7" i="40"/>
  <c r="V7" i="40"/>
  <c r="W7" i="40"/>
  <c r="X7" i="40"/>
  <c r="Y7" i="40"/>
  <c r="Z7" i="40"/>
  <c r="AA7" i="40"/>
  <c r="Q8" i="40"/>
  <c r="R8" i="40"/>
  <c r="S8" i="40"/>
  <c r="T8" i="40"/>
  <c r="U8" i="40"/>
  <c r="V8" i="40"/>
  <c r="W8" i="40"/>
  <c r="X8" i="40"/>
  <c r="Y8" i="40"/>
  <c r="Z8" i="40"/>
  <c r="AA8" i="40"/>
  <c r="Q9" i="40"/>
  <c r="R9" i="40"/>
  <c r="S9" i="40"/>
  <c r="T9" i="40"/>
  <c r="U9" i="40"/>
  <c r="V9" i="40"/>
  <c r="W9" i="40"/>
  <c r="X9" i="40"/>
  <c r="Y9" i="40"/>
  <c r="Z9" i="40"/>
  <c r="AA9" i="40"/>
  <c r="Q10" i="40"/>
  <c r="R10" i="40"/>
  <c r="S10" i="40"/>
  <c r="T10" i="40"/>
  <c r="U10" i="40"/>
  <c r="V10" i="40"/>
  <c r="W10" i="40"/>
  <c r="X10" i="40"/>
  <c r="Y10" i="40"/>
  <c r="Z10" i="40"/>
  <c r="AA10" i="40"/>
  <c r="Q11" i="40"/>
  <c r="R11" i="40"/>
  <c r="S11" i="40"/>
  <c r="T11" i="40"/>
  <c r="U11" i="40"/>
  <c r="V11" i="40"/>
  <c r="W11" i="40"/>
  <c r="X11" i="40"/>
  <c r="Y11" i="40"/>
  <c r="Z11" i="40"/>
  <c r="AA11" i="40"/>
  <c r="Q12" i="40"/>
  <c r="R12" i="40"/>
  <c r="S12" i="40"/>
  <c r="T12" i="40"/>
  <c r="U12" i="40"/>
  <c r="V12" i="40"/>
  <c r="W12" i="40"/>
  <c r="X12" i="40"/>
  <c r="Y12" i="40"/>
  <c r="Z12" i="40"/>
  <c r="AA12" i="40"/>
  <c r="Q13" i="40"/>
  <c r="R13" i="40"/>
  <c r="S13" i="40"/>
  <c r="T13" i="40"/>
  <c r="U13" i="40"/>
  <c r="V13" i="40"/>
  <c r="W13" i="40"/>
  <c r="X13" i="40"/>
  <c r="Y13" i="40"/>
  <c r="Z13" i="40"/>
  <c r="AA13" i="40"/>
  <c r="Q14" i="40"/>
  <c r="R14" i="40"/>
  <c r="S14" i="40"/>
  <c r="T14" i="40"/>
  <c r="U14" i="40"/>
  <c r="V14" i="40"/>
  <c r="W14" i="40"/>
  <c r="X14" i="40"/>
  <c r="Y14" i="40"/>
  <c r="Z14" i="40"/>
  <c r="AA14" i="40"/>
  <c r="Q15" i="40"/>
  <c r="R15" i="40"/>
  <c r="S15" i="40"/>
  <c r="T15" i="40"/>
  <c r="U15" i="40"/>
  <c r="V15" i="40"/>
  <c r="W15" i="40"/>
  <c r="X15" i="40"/>
  <c r="Y15" i="40"/>
  <c r="Z15" i="40"/>
  <c r="AA15" i="40"/>
  <c r="Q16" i="40"/>
  <c r="R16" i="40"/>
  <c r="S16" i="40"/>
  <c r="T16" i="40"/>
  <c r="U16" i="40"/>
  <c r="V16" i="40"/>
  <c r="W16" i="40"/>
  <c r="X16" i="40"/>
  <c r="Y16" i="40"/>
  <c r="Z16" i="40"/>
  <c r="AA16" i="40"/>
  <c r="Q17" i="40"/>
  <c r="R17" i="40"/>
  <c r="S17" i="40"/>
  <c r="T17" i="40"/>
  <c r="U17" i="40"/>
  <c r="V17" i="40"/>
  <c r="W17" i="40"/>
  <c r="X17" i="40"/>
  <c r="Y17" i="40"/>
  <c r="Z17" i="40"/>
  <c r="AA17" i="40"/>
  <c r="Q18" i="40"/>
  <c r="R18" i="40"/>
  <c r="S18" i="40"/>
  <c r="T18" i="40"/>
  <c r="U18" i="40"/>
  <c r="V18" i="40"/>
  <c r="W18" i="40"/>
  <c r="X18" i="40"/>
  <c r="Y18" i="40"/>
  <c r="Z18" i="40"/>
  <c r="AA18" i="40"/>
  <c r="Q19" i="40"/>
  <c r="R19" i="40"/>
  <c r="S19" i="40"/>
  <c r="T19" i="40"/>
  <c r="U19" i="40"/>
  <c r="V19" i="40"/>
  <c r="W19" i="40"/>
  <c r="X19" i="40"/>
  <c r="Y19" i="40"/>
  <c r="Z19" i="40"/>
  <c r="AA19" i="40"/>
  <c r="Q20" i="40"/>
  <c r="R20" i="40"/>
  <c r="S20" i="40"/>
  <c r="T20" i="40"/>
  <c r="U20" i="40"/>
  <c r="V20" i="40"/>
  <c r="W20" i="40"/>
  <c r="X20" i="40"/>
  <c r="Y20" i="40"/>
  <c r="Z20" i="40"/>
  <c r="AA20" i="40"/>
  <c r="Q21" i="40"/>
  <c r="R21" i="40"/>
  <c r="S21" i="40"/>
  <c r="T21" i="40"/>
  <c r="U21" i="40"/>
  <c r="V21" i="40"/>
  <c r="W21" i="40"/>
  <c r="X21" i="40"/>
  <c r="Y21" i="40"/>
  <c r="Z21" i="40"/>
  <c r="AA21" i="40"/>
  <c r="Q22" i="40"/>
  <c r="R22" i="40"/>
  <c r="S22" i="40"/>
  <c r="T22" i="40"/>
  <c r="U22" i="40"/>
  <c r="V22" i="40"/>
  <c r="W22" i="40"/>
  <c r="X22" i="40"/>
  <c r="Y22" i="40"/>
  <c r="Z22" i="40"/>
  <c r="AA22" i="40"/>
  <c r="Q23" i="40"/>
  <c r="R23" i="40"/>
  <c r="S23" i="40"/>
  <c r="T23" i="40"/>
  <c r="U23" i="40"/>
  <c r="V23" i="40"/>
  <c r="W23" i="40"/>
  <c r="X23" i="40"/>
  <c r="Y23" i="40"/>
  <c r="Z23" i="40"/>
  <c r="AA23" i="40"/>
  <c r="Q24" i="40"/>
  <c r="R24" i="40"/>
  <c r="S24" i="40"/>
  <c r="T24" i="40"/>
  <c r="U24" i="40"/>
  <c r="V24" i="40"/>
  <c r="W24" i="40"/>
  <c r="X24" i="40"/>
  <c r="Y24" i="40"/>
  <c r="Z24" i="40"/>
  <c r="AA24" i="40"/>
  <c r="Q25" i="40"/>
  <c r="R25" i="40"/>
  <c r="S25" i="40"/>
  <c r="T25" i="40"/>
  <c r="U25" i="40"/>
  <c r="V25" i="40"/>
  <c r="W25" i="40"/>
  <c r="X25" i="40"/>
  <c r="Y25" i="40"/>
  <c r="Z25" i="40"/>
  <c r="AA25" i="40"/>
  <c r="Q26" i="40"/>
  <c r="R26" i="40"/>
  <c r="S26" i="40"/>
  <c r="T26" i="40"/>
  <c r="U26" i="40"/>
  <c r="V26" i="40"/>
  <c r="W26" i="40"/>
  <c r="X26" i="40"/>
  <c r="Y26" i="40"/>
  <c r="Z26" i="40"/>
  <c r="AA26" i="40"/>
  <c r="Q27" i="40"/>
  <c r="R27" i="40"/>
  <c r="S27" i="40"/>
  <c r="T27" i="40"/>
  <c r="U27" i="40"/>
  <c r="V27" i="40"/>
  <c r="W27" i="40"/>
  <c r="X27" i="40"/>
  <c r="Y27" i="40"/>
  <c r="Z27" i="40"/>
  <c r="AA27" i="40"/>
  <c r="Q28" i="40"/>
  <c r="R28" i="40"/>
  <c r="S28" i="40"/>
  <c r="T28" i="40"/>
  <c r="U28" i="40"/>
  <c r="V28" i="40"/>
  <c r="W28" i="40"/>
  <c r="X28" i="40"/>
  <c r="Y28" i="40"/>
  <c r="Z28" i="40"/>
  <c r="AA28" i="40"/>
  <c r="Q29" i="40"/>
  <c r="R29" i="40"/>
  <c r="S29" i="40"/>
  <c r="T29" i="40"/>
  <c r="U29" i="40"/>
  <c r="V29" i="40"/>
  <c r="W29" i="40"/>
  <c r="X29" i="40"/>
  <c r="Y29" i="40"/>
  <c r="Z29" i="40"/>
  <c r="AA29" i="40"/>
  <c r="Q30" i="40"/>
  <c r="R30" i="40"/>
  <c r="S30" i="40"/>
  <c r="T30" i="40"/>
  <c r="U30" i="40"/>
  <c r="V30" i="40"/>
  <c r="W30" i="40"/>
  <c r="X30" i="40"/>
  <c r="Y30" i="40"/>
  <c r="Z30" i="40"/>
  <c r="AA30" i="40"/>
  <c r="Q31" i="40"/>
  <c r="R31" i="40"/>
  <c r="S31" i="40"/>
  <c r="T31" i="40"/>
  <c r="U31" i="40"/>
  <c r="V31" i="40"/>
  <c r="W31" i="40"/>
  <c r="X31" i="40"/>
  <c r="Y31" i="40"/>
  <c r="Z31" i="40"/>
  <c r="AA31" i="40"/>
  <c r="Q32" i="40"/>
  <c r="R32" i="40"/>
  <c r="S32" i="40"/>
  <c r="T32" i="40"/>
  <c r="U32" i="40"/>
  <c r="V32" i="40"/>
  <c r="W32" i="40"/>
  <c r="X32" i="40"/>
  <c r="Y32" i="40"/>
  <c r="Z32" i="40"/>
  <c r="AA32" i="40"/>
  <c r="Q33" i="40"/>
  <c r="R33" i="40"/>
  <c r="S33" i="40"/>
  <c r="T33" i="40"/>
  <c r="U33" i="40"/>
  <c r="V33" i="40"/>
  <c r="W33" i="40"/>
  <c r="X33" i="40"/>
  <c r="Y33" i="40"/>
  <c r="Z33" i="40"/>
  <c r="AA33" i="40"/>
  <c r="Q34" i="40"/>
  <c r="R34" i="40"/>
  <c r="S34" i="40"/>
  <c r="T34" i="40"/>
  <c r="U34" i="40"/>
  <c r="V34" i="40"/>
  <c r="W34" i="40"/>
  <c r="X34" i="40"/>
  <c r="Y34" i="40"/>
  <c r="Z34" i="40"/>
  <c r="AA34" i="40"/>
  <c r="Q35" i="40"/>
  <c r="R35" i="40"/>
  <c r="S35" i="40"/>
  <c r="T35" i="40"/>
  <c r="U35" i="40"/>
  <c r="V35" i="40"/>
  <c r="W35" i="40"/>
  <c r="X35" i="40"/>
  <c r="Y35" i="40"/>
  <c r="Z35" i="40"/>
  <c r="AA35" i="40"/>
  <c r="R5" i="40"/>
  <c r="S5" i="40"/>
  <c r="T5" i="40"/>
  <c r="U5" i="40"/>
  <c r="V5" i="40"/>
  <c r="W5" i="40"/>
  <c r="X5" i="40"/>
  <c r="Y5" i="40"/>
  <c r="Z5" i="40"/>
  <c r="AA5" i="40"/>
  <c r="Q5" i="40"/>
  <c r="Q5" i="28"/>
  <c r="R5" i="28"/>
  <c r="S5" i="28"/>
  <c r="T5" i="28"/>
  <c r="U5" i="28"/>
  <c r="V5" i="28"/>
  <c r="W5" i="28"/>
  <c r="X5" i="28"/>
  <c r="Y5" i="28"/>
  <c r="Z5" i="28"/>
  <c r="AA5" i="28"/>
  <c r="Q6" i="28"/>
  <c r="R6" i="28"/>
  <c r="S6" i="28"/>
  <c r="T6" i="28"/>
  <c r="U6" i="28"/>
  <c r="V6" i="28"/>
  <c r="W6" i="28"/>
  <c r="X6" i="28"/>
  <c r="Y6" i="28"/>
  <c r="Z6" i="28"/>
  <c r="AA6" i="28"/>
  <c r="Q7" i="28"/>
  <c r="R7" i="28"/>
  <c r="S7" i="28"/>
  <c r="T7" i="28"/>
  <c r="U7" i="28"/>
  <c r="V7" i="28"/>
  <c r="W7" i="28"/>
  <c r="X7" i="28"/>
  <c r="Y7" i="28"/>
  <c r="Z7" i="28"/>
  <c r="AA7" i="28"/>
  <c r="Q8" i="28"/>
  <c r="R8" i="28"/>
  <c r="S8" i="28"/>
  <c r="T8" i="28"/>
  <c r="U8" i="28"/>
  <c r="V8" i="28"/>
  <c r="W8" i="28"/>
  <c r="X8" i="28"/>
  <c r="Y8" i="28"/>
  <c r="Z8" i="28"/>
  <c r="AA8" i="28"/>
  <c r="Q9" i="28"/>
  <c r="R9" i="28"/>
  <c r="S9" i="28"/>
  <c r="T9" i="28"/>
  <c r="U9" i="28"/>
  <c r="V9" i="28"/>
  <c r="W9" i="28"/>
  <c r="X9" i="28"/>
  <c r="Y9" i="28"/>
  <c r="Z9" i="28"/>
  <c r="AA9" i="28"/>
  <c r="Q10" i="28"/>
  <c r="R10" i="28"/>
  <c r="S10" i="28"/>
  <c r="T10" i="28"/>
  <c r="U10" i="28"/>
  <c r="V10" i="28"/>
  <c r="W10" i="28"/>
  <c r="X10" i="28"/>
  <c r="Y10" i="28"/>
  <c r="Z10" i="28"/>
  <c r="AA10" i="28"/>
  <c r="Q11" i="28"/>
  <c r="R11" i="28"/>
  <c r="S11" i="28"/>
  <c r="T11" i="28"/>
  <c r="U11" i="28"/>
  <c r="V11" i="28"/>
  <c r="W11" i="28"/>
  <c r="X11" i="28"/>
  <c r="Y11" i="28"/>
  <c r="Z11" i="28"/>
  <c r="AA11" i="28"/>
  <c r="Q12" i="28"/>
  <c r="R12" i="28"/>
  <c r="S12" i="28"/>
  <c r="T12" i="28"/>
  <c r="U12" i="28"/>
  <c r="V12" i="28"/>
  <c r="W12" i="28"/>
  <c r="X12" i="28"/>
  <c r="Y12" i="28"/>
  <c r="Z12" i="28"/>
  <c r="AA12" i="28"/>
  <c r="Q13" i="28"/>
  <c r="R13" i="28"/>
  <c r="S13" i="28"/>
  <c r="T13" i="28"/>
  <c r="U13" i="28"/>
  <c r="V13" i="28"/>
  <c r="W13" i="28"/>
  <c r="X13" i="28"/>
  <c r="Y13" i="28"/>
  <c r="Z13" i="28"/>
  <c r="AA13" i="28"/>
  <c r="AA4" i="28"/>
  <c r="R4" i="28"/>
  <c r="S4" i="28"/>
  <c r="T4" i="28"/>
  <c r="U4" i="28"/>
  <c r="V4" i="28"/>
  <c r="W4" i="28"/>
  <c r="X4" i="28"/>
  <c r="Y4" i="28"/>
  <c r="Z4" i="28"/>
  <c r="Q4" i="28"/>
  <c r="Q6" i="27"/>
  <c r="R6" i="27"/>
  <c r="S6" i="27"/>
  <c r="T6" i="27"/>
  <c r="U6" i="27"/>
  <c r="V6" i="27"/>
  <c r="W6" i="27"/>
  <c r="X6" i="27"/>
  <c r="Y6" i="27"/>
  <c r="Z6" i="27"/>
  <c r="AA6" i="27"/>
  <c r="Q7" i="27"/>
  <c r="R7" i="27"/>
  <c r="S7" i="27"/>
  <c r="T7" i="27"/>
  <c r="U7" i="27"/>
  <c r="V7" i="27"/>
  <c r="W7" i="27"/>
  <c r="X7" i="27"/>
  <c r="Y7" i="27"/>
  <c r="Z7" i="27"/>
  <c r="AA7" i="27"/>
  <c r="Q8" i="27"/>
  <c r="R8" i="27"/>
  <c r="S8" i="27"/>
  <c r="T8" i="27"/>
  <c r="U8" i="27"/>
  <c r="V8" i="27"/>
  <c r="W8" i="27"/>
  <c r="X8" i="27"/>
  <c r="Y8" i="27"/>
  <c r="Z8" i="27"/>
  <c r="AA8" i="27"/>
  <c r="Q9" i="27"/>
  <c r="R9" i="27"/>
  <c r="S9" i="27"/>
  <c r="T9" i="27"/>
  <c r="U9" i="27"/>
  <c r="V9" i="27"/>
  <c r="W9" i="27"/>
  <c r="X9" i="27"/>
  <c r="Y9" i="27"/>
  <c r="Z9" i="27"/>
  <c r="AA9" i="27"/>
  <c r="Q10" i="27"/>
  <c r="R10" i="27"/>
  <c r="S10" i="27"/>
  <c r="T10" i="27"/>
  <c r="U10" i="27"/>
  <c r="V10" i="27"/>
  <c r="W10" i="27"/>
  <c r="X10" i="27"/>
  <c r="Y10" i="27"/>
  <c r="Z10" i="27"/>
  <c r="AA10" i="27"/>
  <c r="Q11" i="27"/>
  <c r="R11" i="27"/>
  <c r="S11" i="27"/>
  <c r="T11" i="27"/>
  <c r="U11" i="27"/>
  <c r="V11" i="27"/>
  <c r="W11" i="27"/>
  <c r="X11" i="27"/>
  <c r="Y11" i="27"/>
  <c r="Z11" i="27"/>
  <c r="AA11" i="27"/>
  <c r="Q12" i="27"/>
  <c r="R12" i="27"/>
  <c r="S12" i="27"/>
  <c r="T12" i="27"/>
  <c r="U12" i="27"/>
  <c r="V12" i="27"/>
  <c r="W12" i="27"/>
  <c r="X12" i="27"/>
  <c r="Y12" i="27"/>
  <c r="Z12" i="27"/>
  <c r="AA12" i="27"/>
  <c r="Q13" i="27"/>
  <c r="R13" i="27"/>
  <c r="S13" i="27"/>
  <c r="T13" i="27"/>
  <c r="U13" i="27"/>
  <c r="V13" i="27"/>
  <c r="W13" i="27"/>
  <c r="X13" i="27"/>
  <c r="Y13" i="27"/>
  <c r="Z13" i="27"/>
  <c r="AA13" i="27"/>
  <c r="Q14" i="27"/>
  <c r="R14" i="27"/>
  <c r="S14" i="27"/>
  <c r="T14" i="27"/>
  <c r="U14" i="27"/>
  <c r="V14" i="27"/>
  <c r="W14" i="27"/>
  <c r="X14" i="27"/>
  <c r="Y14" i="27"/>
  <c r="Z14" i="27"/>
  <c r="AA14" i="27"/>
  <c r="Q15" i="27"/>
  <c r="R15" i="27"/>
  <c r="S15" i="27"/>
  <c r="T15" i="27"/>
  <c r="U15" i="27"/>
  <c r="V15" i="27"/>
  <c r="W15" i="27"/>
  <c r="X15" i="27"/>
  <c r="Y15" i="27"/>
  <c r="Z15" i="27"/>
  <c r="AA15" i="27"/>
  <c r="Q16" i="27"/>
  <c r="R16" i="27"/>
  <c r="S16" i="27"/>
  <c r="T16" i="27"/>
  <c r="U16" i="27"/>
  <c r="V16" i="27"/>
  <c r="W16" i="27"/>
  <c r="X16" i="27"/>
  <c r="Y16" i="27"/>
  <c r="Z16" i="27"/>
  <c r="AA16" i="27"/>
  <c r="Q17" i="27"/>
  <c r="R17" i="27"/>
  <c r="S17" i="27"/>
  <c r="T17" i="27"/>
  <c r="U17" i="27"/>
  <c r="V17" i="27"/>
  <c r="W17" i="27"/>
  <c r="X17" i="27"/>
  <c r="Y17" i="27"/>
  <c r="Z17" i="27"/>
  <c r="AA17" i="27"/>
  <c r="Q18" i="27"/>
  <c r="R18" i="27"/>
  <c r="S18" i="27"/>
  <c r="T18" i="27"/>
  <c r="U18" i="27"/>
  <c r="V18" i="27"/>
  <c r="W18" i="27"/>
  <c r="X18" i="27"/>
  <c r="Y18" i="27"/>
  <c r="Z18" i="27"/>
  <c r="AA18" i="27"/>
  <c r="Q19" i="27"/>
  <c r="R19" i="27"/>
  <c r="S19" i="27"/>
  <c r="T19" i="27"/>
  <c r="U19" i="27"/>
  <c r="V19" i="27"/>
  <c r="W19" i="27"/>
  <c r="X19" i="27"/>
  <c r="Y19" i="27"/>
  <c r="Z19" i="27"/>
  <c r="AA19" i="27"/>
  <c r="Q20" i="27"/>
  <c r="R20" i="27"/>
  <c r="S20" i="27"/>
  <c r="T20" i="27"/>
  <c r="U20" i="27"/>
  <c r="V20" i="27"/>
  <c r="W20" i="27"/>
  <c r="X20" i="27"/>
  <c r="Y20" i="27"/>
  <c r="Z20" i="27"/>
  <c r="AA20" i="27"/>
  <c r="Q21" i="27"/>
  <c r="R21" i="27"/>
  <c r="S21" i="27"/>
  <c r="T21" i="27"/>
  <c r="U21" i="27"/>
  <c r="V21" i="27"/>
  <c r="W21" i="27"/>
  <c r="X21" i="27"/>
  <c r="Y21" i="27"/>
  <c r="Z21" i="27"/>
  <c r="AA21" i="27"/>
  <c r="Q22" i="27"/>
  <c r="R22" i="27"/>
  <c r="S22" i="27"/>
  <c r="T22" i="27"/>
  <c r="U22" i="27"/>
  <c r="V22" i="27"/>
  <c r="W22" i="27"/>
  <c r="X22" i="27"/>
  <c r="Y22" i="27"/>
  <c r="Z22" i="27"/>
  <c r="AA22" i="27"/>
  <c r="Q23" i="27"/>
  <c r="R23" i="27"/>
  <c r="S23" i="27"/>
  <c r="T23" i="27"/>
  <c r="U23" i="27"/>
  <c r="V23" i="27"/>
  <c r="W23" i="27"/>
  <c r="X23" i="27"/>
  <c r="Y23" i="27"/>
  <c r="Z23" i="27"/>
  <c r="AA23" i="27"/>
  <c r="Q24" i="27"/>
  <c r="R24" i="27"/>
  <c r="S24" i="27"/>
  <c r="T24" i="27"/>
  <c r="U24" i="27"/>
  <c r="V24" i="27"/>
  <c r="W24" i="27"/>
  <c r="X24" i="27"/>
  <c r="Y24" i="27"/>
  <c r="Z24" i="27"/>
  <c r="AA24" i="27"/>
  <c r="Q25" i="27"/>
  <c r="R25" i="27"/>
  <c r="S25" i="27"/>
  <c r="T25" i="27"/>
  <c r="U25" i="27"/>
  <c r="V25" i="27"/>
  <c r="W25" i="27"/>
  <c r="X25" i="27"/>
  <c r="Y25" i="27"/>
  <c r="Z25" i="27"/>
  <c r="AA25" i="27"/>
  <c r="Q26" i="27"/>
  <c r="R26" i="27"/>
  <c r="S26" i="27"/>
  <c r="T26" i="27"/>
  <c r="U26" i="27"/>
  <c r="V26" i="27"/>
  <c r="W26" i="27"/>
  <c r="X26" i="27"/>
  <c r="Y26" i="27"/>
  <c r="Z26" i="27"/>
  <c r="AA26" i="27"/>
  <c r="Q27" i="27"/>
  <c r="R27" i="27"/>
  <c r="S27" i="27"/>
  <c r="T27" i="27"/>
  <c r="U27" i="27"/>
  <c r="V27" i="27"/>
  <c r="W27" i="27"/>
  <c r="X27" i="27"/>
  <c r="Y27" i="27"/>
  <c r="Z27" i="27"/>
  <c r="AA27" i="27"/>
  <c r="Q28" i="27"/>
  <c r="R28" i="27"/>
  <c r="S28" i="27"/>
  <c r="T28" i="27"/>
  <c r="U28" i="27"/>
  <c r="V28" i="27"/>
  <c r="W28" i="27"/>
  <c r="X28" i="27"/>
  <c r="Y28" i="27"/>
  <c r="Z28" i="27"/>
  <c r="AA28" i="27"/>
  <c r="Q29" i="27"/>
  <c r="R29" i="27"/>
  <c r="S29" i="27"/>
  <c r="T29" i="27"/>
  <c r="U29" i="27"/>
  <c r="V29" i="27"/>
  <c r="W29" i="27"/>
  <c r="X29" i="27"/>
  <c r="Y29" i="27"/>
  <c r="Z29" i="27"/>
  <c r="AA29" i="27"/>
  <c r="Q30" i="27"/>
  <c r="R30" i="27"/>
  <c r="S30" i="27"/>
  <c r="T30" i="27"/>
  <c r="U30" i="27"/>
  <c r="V30" i="27"/>
  <c r="W30" i="27"/>
  <c r="X30" i="27"/>
  <c r="Y30" i="27"/>
  <c r="Z30" i="27"/>
  <c r="AA30" i="27"/>
  <c r="Q31" i="27"/>
  <c r="R31" i="27"/>
  <c r="S31" i="27"/>
  <c r="T31" i="27"/>
  <c r="U31" i="27"/>
  <c r="V31" i="27"/>
  <c r="W31" i="27"/>
  <c r="X31" i="27"/>
  <c r="Y31" i="27"/>
  <c r="Z31" i="27"/>
  <c r="AA31" i="27"/>
  <c r="Q32" i="27"/>
  <c r="R32" i="27"/>
  <c r="S32" i="27"/>
  <c r="T32" i="27"/>
  <c r="U32" i="27"/>
  <c r="V32" i="27"/>
  <c r="W32" i="27"/>
  <c r="X32" i="27"/>
  <c r="Y32" i="27"/>
  <c r="Z32" i="27"/>
  <c r="AA32" i="27"/>
  <c r="Q33" i="27"/>
  <c r="R33" i="27"/>
  <c r="S33" i="27"/>
  <c r="T33" i="27"/>
  <c r="U33" i="27"/>
  <c r="V33" i="27"/>
  <c r="W33" i="27"/>
  <c r="X33" i="27"/>
  <c r="Y33" i="27"/>
  <c r="Z33" i="27"/>
  <c r="AA33" i="27"/>
  <c r="Q34" i="27"/>
  <c r="R34" i="27"/>
  <c r="S34" i="27"/>
  <c r="T34" i="27"/>
  <c r="U34" i="27"/>
  <c r="V34" i="27"/>
  <c r="W34" i="27"/>
  <c r="X34" i="27"/>
  <c r="Y34" i="27"/>
  <c r="Z34" i="27"/>
  <c r="AA34" i="27"/>
  <c r="Q35" i="27"/>
  <c r="R35" i="27"/>
  <c r="S35" i="27"/>
  <c r="T35" i="27"/>
  <c r="U35" i="27"/>
  <c r="V35" i="27"/>
  <c r="W35" i="27"/>
  <c r="X35" i="27"/>
  <c r="Y35" i="27"/>
  <c r="Z35" i="27"/>
  <c r="AA35" i="27"/>
  <c r="Q36" i="27"/>
  <c r="R36" i="27"/>
  <c r="S36" i="27"/>
  <c r="T36" i="27"/>
  <c r="U36" i="27"/>
  <c r="V36" i="27"/>
  <c r="W36" i="27"/>
  <c r="X36" i="27"/>
  <c r="Y36" i="27"/>
  <c r="Z36" i="27"/>
  <c r="AA36" i="27"/>
  <c r="Q37" i="27"/>
  <c r="R37" i="27"/>
  <c r="S37" i="27"/>
  <c r="T37" i="27"/>
  <c r="U37" i="27"/>
  <c r="V37" i="27"/>
  <c r="W37" i="27"/>
  <c r="X37" i="27"/>
  <c r="Y37" i="27"/>
  <c r="Z37" i="27"/>
  <c r="AA37" i="27"/>
  <c r="Q38" i="27"/>
  <c r="R38" i="27"/>
  <c r="S38" i="27"/>
  <c r="T38" i="27"/>
  <c r="U38" i="27"/>
  <c r="V38" i="27"/>
  <c r="W38" i="27"/>
  <c r="X38" i="27"/>
  <c r="Y38" i="27"/>
  <c r="Z38" i="27"/>
  <c r="AA38" i="27"/>
  <c r="Q39" i="27"/>
  <c r="R39" i="27"/>
  <c r="S39" i="27"/>
  <c r="T39" i="27"/>
  <c r="U39" i="27"/>
  <c r="V39" i="27"/>
  <c r="W39" i="27"/>
  <c r="X39" i="27"/>
  <c r="Y39" i="27"/>
  <c r="Z39" i="27"/>
  <c r="AA39" i="27"/>
  <c r="T5" i="27"/>
  <c r="U5" i="27"/>
  <c r="V5" i="27"/>
  <c r="W5" i="27"/>
  <c r="X5" i="27"/>
  <c r="Y5" i="27"/>
  <c r="Z5" i="27"/>
  <c r="AA5" i="27"/>
  <c r="S5" i="27"/>
  <c r="R5" i="27"/>
  <c r="Q5" i="27"/>
  <c r="N5" i="26"/>
  <c r="O5" i="26"/>
  <c r="P5" i="26"/>
  <c r="Q5" i="26"/>
  <c r="R5" i="26"/>
  <c r="S5" i="26"/>
  <c r="T5" i="26"/>
  <c r="U5" i="26"/>
  <c r="V5" i="26"/>
  <c r="W5" i="26"/>
  <c r="X5" i="26"/>
  <c r="N6" i="26"/>
  <c r="O6" i="26"/>
  <c r="P6" i="26"/>
  <c r="Q6" i="26"/>
  <c r="R6" i="26"/>
  <c r="S6" i="26"/>
  <c r="T6" i="26"/>
  <c r="U6" i="26"/>
  <c r="V6" i="26"/>
  <c r="W6" i="26"/>
  <c r="X6" i="26"/>
  <c r="N7" i="26"/>
  <c r="O7" i="26"/>
  <c r="P7" i="26"/>
  <c r="Q7" i="26"/>
  <c r="R7" i="26"/>
  <c r="S7" i="26"/>
  <c r="T7" i="26"/>
  <c r="U7" i="26"/>
  <c r="V7" i="26"/>
  <c r="W7" i="26"/>
  <c r="X7" i="26"/>
  <c r="N8" i="26"/>
  <c r="O8" i="26"/>
  <c r="P8" i="26"/>
  <c r="Q8" i="26"/>
  <c r="R8" i="26"/>
  <c r="S8" i="26"/>
  <c r="T8" i="26"/>
  <c r="U8" i="26"/>
  <c r="V8" i="26"/>
  <c r="W8" i="26"/>
  <c r="X8" i="26"/>
  <c r="N9" i="26"/>
  <c r="O9" i="26"/>
  <c r="P9" i="26"/>
  <c r="Q9" i="26"/>
  <c r="R9" i="26"/>
  <c r="S9" i="26"/>
  <c r="T9" i="26"/>
  <c r="U9" i="26"/>
  <c r="V9" i="26"/>
  <c r="W9" i="26"/>
  <c r="X9" i="26"/>
  <c r="N10" i="26"/>
  <c r="O10" i="26"/>
  <c r="P10" i="26"/>
  <c r="Q10" i="26"/>
  <c r="R10" i="26"/>
  <c r="S10" i="26"/>
  <c r="T10" i="26"/>
  <c r="U10" i="26"/>
  <c r="V10" i="26"/>
  <c r="W10" i="26"/>
  <c r="X10" i="26"/>
  <c r="N11" i="26"/>
  <c r="O11" i="26"/>
  <c r="P11" i="26"/>
  <c r="Q11" i="26"/>
  <c r="R11" i="26"/>
  <c r="S11" i="26"/>
  <c r="T11" i="26"/>
  <c r="U11" i="26"/>
  <c r="V11" i="26"/>
  <c r="W11" i="26"/>
  <c r="X11" i="26"/>
  <c r="N12" i="26"/>
  <c r="O12" i="26"/>
  <c r="P12" i="26"/>
  <c r="Q12" i="26"/>
  <c r="R12" i="26"/>
  <c r="S12" i="26"/>
  <c r="T12" i="26"/>
  <c r="U12" i="26"/>
  <c r="V12" i="26"/>
  <c r="W12" i="26"/>
  <c r="X12" i="26"/>
  <c r="N13" i="26"/>
  <c r="O13" i="26"/>
  <c r="P13" i="26"/>
  <c r="Q13" i="26"/>
  <c r="R13" i="26"/>
  <c r="S13" i="26"/>
  <c r="T13" i="26"/>
  <c r="U13" i="26"/>
  <c r="V13" i="26"/>
  <c r="W13" i="26"/>
  <c r="X13" i="26"/>
  <c r="O4" i="26"/>
  <c r="P4" i="26"/>
  <c r="Q4" i="26"/>
  <c r="R4" i="26"/>
  <c r="S4" i="26"/>
  <c r="T4" i="26"/>
  <c r="U4" i="26"/>
  <c r="V4" i="26"/>
  <c r="W4" i="26"/>
  <c r="X4" i="26"/>
  <c r="N4" i="26"/>
  <c r="N6" i="25"/>
  <c r="O6" i="25"/>
  <c r="P6" i="25"/>
  <c r="Q6" i="25"/>
  <c r="R6" i="25"/>
  <c r="S6" i="25"/>
  <c r="T6" i="25"/>
  <c r="U6" i="25"/>
  <c r="V6" i="25"/>
  <c r="W6" i="25"/>
  <c r="X6" i="25"/>
  <c r="N7" i="25"/>
  <c r="O7" i="25"/>
  <c r="P7" i="25"/>
  <c r="Q7" i="25"/>
  <c r="R7" i="25"/>
  <c r="S7" i="25"/>
  <c r="T7" i="25"/>
  <c r="U7" i="25"/>
  <c r="V7" i="25"/>
  <c r="W7" i="25"/>
  <c r="X7" i="25"/>
  <c r="N8" i="25"/>
  <c r="O8" i="25"/>
  <c r="P8" i="25"/>
  <c r="Q8" i="25"/>
  <c r="R8" i="25"/>
  <c r="S8" i="25"/>
  <c r="T8" i="25"/>
  <c r="U8" i="25"/>
  <c r="V8" i="25"/>
  <c r="W8" i="25"/>
  <c r="X8" i="25"/>
  <c r="N9" i="25"/>
  <c r="O9" i="25"/>
  <c r="P9" i="25"/>
  <c r="Q9" i="25"/>
  <c r="R9" i="25"/>
  <c r="S9" i="25"/>
  <c r="T9" i="25"/>
  <c r="U9" i="25"/>
  <c r="V9" i="25"/>
  <c r="W9" i="25"/>
  <c r="X9" i="25"/>
  <c r="N10" i="25"/>
  <c r="O10" i="25"/>
  <c r="P10" i="25"/>
  <c r="Q10" i="25"/>
  <c r="R10" i="25"/>
  <c r="S10" i="25"/>
  <c r="T10" i="25"/>
  <c r="U10" i="25"/>
  <c r="V10" i="25"/>
  <c r="W10" i="25"/>
  <c r="X10" i="25"/>
  <c r="N11" i="25"/>
  <c r="O11" i="25"/>
  <c r="P11" i="25"/>
  <c r="Q11" i="25"/>
  <c r="R11" i="25"/>
  <c r="S11" i="25"/>
  <c r="T11" i="25"/>
  <c r="U11" i="25"/>
  <c r="V11" i="25"/>
  <c r="W11" i="25"/>
  <c r="X11" i="25"/>
  <c r="N12" i="25"/>
  <c r="O12" i="25"/>
  <c r="P12" i="25"/>
  <c r="Q12" i="25"/>
  <c r="R12" i="25"/>
  <c r="S12" i="25"/>
  <c r="T12" i="25"/>
  <c r="U12" i="25"/>
  <c r="V12" i="25"/>
  <c r="W12" i="25"/>
  <c r="X12" i="25"/>
  <c r="N13" i="25"/>
  <c r="O13" i="25"/>
  <c r="P13" i="25"/>
  <c r="Q13" i="25"/>
  <c r="R13" i="25"/>
  <c r="S13" i="25"/>
  <c r="T13" i="25"/>
  <c r="U13" i="25"/>
  <c r="V13" i="25"/>
  <c r="W13" i="25"/>
  <c r="X13" i="25"/>
  <c r="N14" i="25"/>
  <c r="O14" i="25"/>
  <c r="P14" i="25"/>
  <c r="Q14" i="25"/>
  <c r="R14" i="25"/>
  <c r="S14" i="25"/>
  <c r="T14" i="25"/>
  <c r="U14" i="25"/>
  <c r="V14" i="25"/>
  <c r="W14" i="25"/>
  <c r="X14" i="25"/>
  <c r="N15" i="25"/>
  <c r="O15" i="25"/>
  <c r="P15" i="25"/>
  <c r="Q15" i="25"/>
  <c r="R15" i="25"/>
  <c r="S15" i="25"/>
  <c r="T15" i="25"/>
  <c r="U15" i="25"/>
  <c r="V15" i="25"/>
  <c r="W15" i="25"/>
  <c r="X15" i="25"/>
  <c r="N16" i="25"/>
  <c r="O16" i="25"/>
  <c r="P16" i="25"/>
  <c r="Q16" i="25"/>
  <c r="R16" i="25"/>
  <c r="S16" i="25"/>
  <c r="T16" i="25"/>
  <c r="U16" i="25"/>
  <c r="V16" i="25"/>
  <c r="W16" i="25"/>
  <c r="X16" i="25"/>
  <c r="N17" i="25"/>
  <c r="O17" i="25"/>
  <c r="P17" i="25"/>
  <c r="Q17" i="25"/>
  <c r="R17" i="25"/>
  <c r="S17" i="25"/>
  <c r="T17" i="25"/>
  <c r="U17" i="25"/>
  <c r="V17" i="25"/>
  <c r="W17" i="25"/>
  <c r="X17" i="25"/>
  <c r="N18" i="25"/>
  <c r="O18" i="25"/>
  <c r="P18" i="25"/>
  <c r="Q18" i="25"/>
  <c r="R18" i="25"/>
  <c r="S18" i="25"/>
  <c r="T18" i="25"/>
  <c r="U18" i="25"/>
  <c r="V18" i="25"/>
  <c r="W18" i="25"/>
  <c r="X18" i="25"/>
  <c r="N19" i="25"/>
  <c r="O19" i="25"/>
  <c r="P19" i="25"/>
  <c r="Q19" i="25"/>
  <c r="R19" i="25"/>
  <c r="S19" i="25"/>
  <c r="T19" i="25"/>
  <c r="U19" i="25"/>
  <c r="V19" i="25"/>
  <c r="W19" i="25"/>
  <c r="X19" i="25"/>
  <c r="N20" i="25"/>
  <c r="O20" i="25"/>
  <c r="P20" i="25"/>
  <c r="Q20" i="25"/>
  <c r="R20" i="25"/>
  <c r="S20" i="25"/>
  <c r="T20" i="25"/>
  <c r="U20" i="25"/>
  <c r="V20" i="25"/>
  <c r="W20" i="25"/>
  <c r="X20" i="25"/>
  <c r="N21" i="25"/>
  <c r="O21" i="25"/>
  <c r="P21" i="25"/>
  <c r="Q21" i="25"/>
  <c r="R21" i="25"/>
  <c r="S21" i="25"/>
  <c r="T21" i="25"/>
  <c r="U21" i="25"/>
  <c r="V21" i="25"/>
  <c r="W21" i="25"/>
  <c r="X21" i="25"/>
  <c r="N22" i="25"/>
  <c r="O22" i="25"/>
  <c r="P22" i="25"/>
  <c r="Q22" i="25"/>
  <c r="R22" i="25"/>
  <c r="S22" i="25"/>
  <c r="T22" i="25"/>
  <c r="U22" i="25"/>
  <c r="V22" i="25"/>
  <c r="W22" i="25"/>
  <c r="X22" i="25"/>
  <c r="N23" i="25"/>
  <c r="O23" i="25"/>
  <c r="P23" i="25"/>
  <c r="Q23" i="25"/>
  <c r="R23" i="25"/>
  <c r="S23" i="25"/>
  <c r="T23" i="25"/>
  <c r="U23" i="25"/>
  <c r="V23" i="25"/>
  <c r="W23" i="25"/>
  <c r="X23" i="25"/>
  <c r="N24" i="25"/>
  <c r="O24" i="25"/>
  <c r="P24" i="25"/>
  <c r="Q24" i="25"/>
  <c r="R24" i="25"/>
  <c r="S24" i="25"/>
  <c r="T24" i="25"/>
  <c r="U24" i="25"/>
  <c r="V24" i="25"/>
  <c r="W24" i="25"/>
  <c r="X24" i="25"/>
  <c r="N25" i="25"/>
  <c r="O25" i="25"/>
  <c r="P25" i="25"/>
  <c r="Q25" i="25"/>
  <c r="R25" i="25"/>
  <c r="S25" i="25"/>
  <c r="T25" i="25"/>
  <c r="U25" i="25"/>
  <c r="V25" i="25"/>
  <c r="W25" i="25"/>
  <c r="X25" i="25"/>
  <c r="N26" i="25"/>
  <c r="O26" i="25"/>
  <c r="P26" i="25"/>
  <c r="Q26" i="25"/>
  <c r="R26" i="25"/>
  <c r="S26" i="25"/>
  <c r="T26" i="25"/>
  <c r="U26" i="25"/>
  <c r="V26" i="25"/>
  <c r="W26" i="25"/>
  <c r="X26" i="25"/>
  <c r="N27" i="25"/>
  <c r="O27" i="25"/>
  <c r="P27" i="25"/>
  <c r="Q27" i="25"/>
  <c r="R27" i="25"/>
  <c r="S27" i="25"/>
  <c r="T27" i="25"/>
  <c r="U27" i="25"/>
  <c r="V27" i="25"/>
  <c r="W27" i="25"/>
  <c r="X27" i="25"/>
  <c r="N28" i="25"/>
  <c r="O28" i="25"/>
  <c r="P28" i="25"/>
  <c r="Q28" i="25"/>
  <c r="R28" i="25"/>
  <c r="S28" i="25"/>
  <c r="T28" i="25"/>
  <c r="U28" i="25"/>
  <c r="V28" i="25"/>
  <c r="W28" i="25"/>
  <c r="X28" i="25"/>
  <c r="N29" i="25"/>
  <c r="O29" i="25"/>
  <c r="P29" i="25"/>
  <c r="Q29" i="25"/>
  <c r="R29" i="25"/>
  <c r="S29" i="25"/>
  <c r="T29" i="25"/>
  <c r="U29" i="25"/>
  <c r="V29" i="25"/>
  <c r="W29" i="25"/>
  <c r="X29" i="25"/>
  <c r="N30" i="25"/>
  <c r="O30" i="25"/>
  <c r="P30" i="25"/>
  <c r="Q30" i="25"/>
  <c r="R30" i="25"/>
  <c r="S30" i="25"/>
  <c r="T30" i="25"/>
  <c r="U30" i="25"/>
  <c r="V30" i="25"/>
  <c r="W30" i="25"/>
  <c r="X30" i="25"/>
  <c r="N31" i="25"/>
  <c r="O31" i="25"/>
  <c r="P31" i="25"/>
  <c r="Q31" i="25"/>
  <c r="R31" i="25"/>
  <c r="S31" i="25"/>
  <c r="T31" i="25"/>
  <c r="U31" i="25"/>
  <c r="V31" i="25"/>
  <c r="W31" i="25"/>
  <c r="X31" i="25"/>
  <c r="N32" i="25"/>
  <c r="O32" i="25"/>
  <c r="P32" i="25"/>
  <c r="Q32" i="25"/>
  <c r="R32" i="25"/>
  <c r="S32" i="25"/>
  <c r="T32" i="25"/>
  <c r="U32" i="25"/>
  <c r="V32" i="25"/>
  <c r="W32" i="25"/>
  <c r="X32" i="25"/>
  <c r="N33" i="25"/>
  <c r="O33" i="25"/>
  <c r="P33" i="25"/>
  <c r="Q33" i="25"/>
  <c r="R33" i="25"/>
  <c r="S33" i="25"/>
  <c r="T33" i="25"/>
  <c r="U33" i="25"/>
  <c r="V33" i="25"/>
  <c r="W33" i="25"/>
  <c r="X33" i="25"/>
  <c r="N34" i="25"/>
  <c r="O34" i="25"/>
  <c r="P34" i="25"/>
  <c r="Q34" i="25"/>
  <c r="R34" i="25"/>
  <c r="S34" i="25"/>
  <c r="T34" i="25"/>
  <c r="U34" i="25"/>
  <c r="V34" i="25"/>
  <c r="W34" i="25"/>
  <c r="X34" i="25"/>
  <c r="N35" i="25"/>
  <c r="O35" i="25"/>
  <c r="P35" i="25"/>
  <c r="Q35" i="25"/>
  <c r="R35" i="25"/>
  <c r="S35" i="25"/>
  <c r="T35" i="25"/>
  <c r="U35" i="25"/>
  <c r="V35" i="25"/>
  <c r="W35" i="25"/>
  <c r="X35" i="25"/>
  <c r="N36" i="25"/>
  <c r="O36" i="25"/>
  <c r="P36" i="25"/>
  <c r="Q36" i="25"/>
  <c r="R36" i="25"/>
  <c r="S36" i="25"/>
  <c r="T36" i="25"/>
  <c r="U36" i="25"/>
  <c r="V36" i="25"/>
  <c r="W36" i="25"/>
  <c r="X36" i="25"/>
  <c r="N37" i="25"/>
  <c r="O37" i="25"/>
  <c r="P37" i="25"/>
  <c r="Q37" i="25"/>
  <c r="R37" i="25"/>
  <c r="S37" i="25"/>
  <c r="T37" i="25"/>
  <c r="U37" i="25"/>
  <c r="V37" i="25"/>
  <c r="W37" i="25"/>
  <c r="X37" i="25"/>
  <c r="N38" i="25"/>
  <c r="O38" i="25"/>
  <c r="P38" i="25"/>
  <c r="Q38" i="25"/>
  <c r="R38" i="25"/>
  <c r="S38" i="25"/>
  <c r="T38" i="25"/>
  <c r="U38" i="25"/>
  <c r="V38" i="25"/>
  <c r="W38" i="25"/>
  <c r="X38" i="25"/>
  <c r="N39" i="25"/>
  <c r="O39" i="25"/>
  <c r="P39" i="25"/>
  <c r="Q39" i="25"/>
  <c r="R39" i="25"/>
  <c r="S39" i="25"/>
  <c r="T39" i="25"/>
  <c r="U39" i="25"/>
  <c r="V39" i="25"/>
  <c r="W39" i="25"/>
  <c r="X39" i="25"/>
  <c r="P5" i="25"/>
  <c r="Q5" i="25"/>
  <c r="R5" i="25"/>
  <c r="S5" i="25"/>
  <c r="T5" i="25"/>
  <c r="U5" i="25"/>
  <c r="V5" i="25"/>
  <c r="W5" i="25"/>
  <c r="X5" i="25"/>
  <c r="O5" i="25"/>
  <c r="R5" i="18"/>
  <c r="S5" i="18"/>
  <c r="T5" i="18"/>
  <c r="U5" i="18"/>
  <c r="V5" i="18"/>
  <c r="W5" i="18"/>
  <c r="X5" i="18"/>
  <c r="Y5" i="18"/>
  <c r="Z5" i="18"/>
  <c r="AA5" i="18"/>
  <c r="AB5" i="18"/>
  <c r="AC5" i="18"/>
  <c r="R6" i="18"/>
  <c r="S6" i="18"/>
  <c r="T6" i="18"/>
  <c r="U6" i="18"/>
  <c r="V6" i="18"/>
  <c r="W6" i="18"/>
  <c r="X6" i="18"/>
  <c r="Y6" i="18"/>
  <c r="Z6" i="18"/>
  <c r="AA6" i="18"/>
  <c r="AB6" i="18"/>
  <c r="AC6" i="18"/>
  <c r="R7" i="18"/>
  <c r="S7" i="18"/>
  <c r="T7" i="18"/>
  <c r="U7" i="18"/>
  <c r="V7" i="18"/>
  <c r="W7" i="18"/>
  <c r="X7" i="18"/>
  <c r="Y7" i="18"/>
  <c r="Z7" i="18"/>
  <c r="AA7" i="18"/>
  <c r="AB7" i="18"/>
  <c r="AC7" i="18"/>
  <c r="R8" i="18"/>
  <c r="S8" i="18"/>
  <c r="T8" i="18"/>
  <c r="U8" i="18"/>
  <c r="V8" i="18"/>
  <c r="W8" i="18"/>
  <c r="X8" i="18"/>
  <c r="Y8" i="18"/>
  <c r="Z8" i="18"/>
  <c r="AA8" i="18"/>
  <c r="AB8" i="18"/>
  <c r="AC8" i="18"/>
  <c r="R9" i="18"/>
  <c r="S9" i="18"/>
  <c r="T9" i="18"/>
  <c r="U9" i="18"/>
  <c r="V9" i="18"/>
  <c r="W9" i="18"/>
  <c r="X9" i="18"/>
  <c r="Y9" i="18"/>
  <c r="Z9" i="18"/>
  <c r="AA9" i="18"/>
  <c r="AB9" i="18"/>
  <c r="AC9" i="18"/>
  <c r="R10" i="18"/>
  <c r="S10" i="18"/>
  <c r="T10" i="18"/>
  <c r="U10" i="18"/>
  <c r="V10" i="18"/>
  <c r="W10" i="18"/>
  <c r="X10" i="18"/>
  <c r="Y10" i="18"/>
  <c r="Z10" i="18"/>
  <c r="AA10" i="18"/>
  <c r="AB10" i="18"/>
  <c r="AC10" i="18"/>
  <c r="R11" i="18"/>
  <c r="S11" i="18"/>
  <c r="T11" i="18"/>
  <c r="U11" i="18"/>
  <c r="V11" i="18"/>
  <c r="W11" i="18"/>
  <c r="X11" i="18"/>
  <c r="Y11" i="18"/>
  <c r="Z11" i="18"/>
  <c r="AA11" i="18"/>
  <c r="AB11" i="18"/>
  <c r="AC11" i="18"/>
  <c r="R12" i="18"/>
  <c r="S12" i="18"/>
  <c r="T12" i="18"/>
  <c r="U12" i="18"/>
  <c r="V12" i="18"/>
  <c r="W12" i="18"/>
  <c r="X12" i="18"/>
  <c r="Y12" i="18"/>
  <c r="Z12" i="18"/>
  <c r="AA12" i="18"/>
  <c r="AB12" i="18"/>
  <c r="AC12" i="18"/>
  <c r="R13" i="18"/>
  <c r="S13" i="18"/>
  <c r="T13" i="18"/>
  <c r="U13" i="18"/>
  <c r="V13" i="18"/>
  <c r="W13" i="18"/>
  <c r="X13" i="18"/>
  <c r="Y13" i="18"/>
  <c r="Z13" i="18"/>
  <c r="AA13" i="18"/>
  <c r="AB13" i="18"/>
  <c r="AC13" i="18"/>
  <c r="R14" i="18"/>
  <c r="S14" i="18"/>
  <c r="T14" i="18"/>
  <c r="U14" i="18"/>
  <c r="V14" i="18"/>
  <c r="W14" i="18"/>
  <c r="X14" i="18"/>
  <c r="Y14" i="18"/>
  <c r="Z14" i="18"/>
  <c r="AA14" i="18"/>
  <c r="AB14" i="18"/>
  <c r="AC14" i="18"/>
  <c r="R15" i="18"/>
  <c r="S15" i="18"/>
  <c r="T15" i="18"/>
  <c r="U15" i="18"/>
  <c r="V15" i="18"/>
  <c r="W15" i="18"/>
  <c r="X15" i="18"/>
  <c r="Y15" i="18"/>
  <c r="Z15" i="18"/>
  <c r="AA15" i="18"/>
  <c r="AB15" i="18"/>
  <c r="AC15" i="18"/>
  <c r="R16" i="18"/>
  <c r="S16" i="18"/>
  <c r="T16" i="18"/>
  <c r="U16" i="18"/>
  <c r="V16" i="18"/>
  <c r="W16" i="18"/>
  <c r="X16" i="18"/>
  <c r="Y16" i="18"/>
  <c r="Z16" i="18"/>
  <c r="AA16" i="18"/>
  <c r="AB16" i="18"/>
  <c r="AC16" i="18"/>
  <c r="R17" i="18"/>
  <c r="S17" i="18"/>
  <c r="T17" i="18"/>
  <c r="U17" i="18"/>
  <c r="V17" i="18"/>
  <c r="W17" i="18"/>
  <c r="X17" i="18"/>
  <c r="Y17" i="18"/>
  <c r="Z17" i="18"/>
  <c r="AA17" i="18"/>
  <c r="AB17" i="18"/>
  <c r="AC17" i="18"/>
  <c r="R18" i="18"/>
  <c r="S18" i="18"/>
  <c r="T18" i="18"/>
  <c r="U18" i="18"/>
  <c r="V18" i="18"/>
  <c r="W18" i="18"/>
  <c r="X18" i="18"/>
  <c r="Y18" i="18"/>
  <c r="Z18" i="18"/>
  <c r="AA18" i="18"/>
  <c r="AB18" i="18"/>
  <c r="AC18" i="18"/>
  <c r="R19" i="18"/>
  <c r="S19" i="18"/>
  <c r="T19" i="18"/>
  <c r="U19" i="18"/>
  <c r="V19" i="18"/>
  <c r="W19" i="18"/>
  <c r="X19" i="18"/>
  <c r="Y19" i="18"/>
  <c r="Z19" i="18"/>
  <c r="AA19" i="18"/>
  <c r="AB19" i="18"/>
  <c r="AC19" i="18"/>
  <c r="R20" i="18"/>
  <c r="S20" i="18"/>
  <c r="T20" i="18"/>
  <c r="U20" i="18"/>
  <c r="V20" i="18"/>
  <c r="W20" i="18"/>
  <c r="X20" i="18"/>
  <c r="Y20" i="18"/>
  <c r="Z20" i="18"/>
  <c r="AA20" i="18"/>
  <c r="AB20" i="18"/>
  <c r="AC20" i="18"/>
  <c r="R21" i="18"/>
  <c r="S21" i="18"/>
  <c r="T21" i="18"/>
  <c r="U21" i="18"/>
  <c r="V21" i="18"/>
  <c r="W21" i="18"/>
  <c r="X21" i="18"/>
  <c r="Y21" i="18"/>
  <c r="Z21" i="18"/>
  <c r="AA21" i="18"/>
  <c r="AB21" i="18"/>
  <c r="AC21" i="18"/>
  <c r="R22" i="18"/>
  <c r="S22" i="18"/>
  <c r="T22" i="18"/>
  <c r="U22" i="18"/>
  <c r="V22" i="18"/>
  <c r="W22" i="18"/>
  <c r="X22" i="18"/>
  <c r="Y22" i="18"/>
  <c r="Z22" i="18"/>
  <c r="AA22" i="18"/>
  <c r="AB22" i="18"/>
  <c r="AC22" i="18"/>
  <c r="R23" i="18"/>
  <c r="S23" i="18"/>
  <c r="T23" i="18"/>
  <c r="U23" i="18"/>
  <c r="V23" i="18"/>
  <c r="W23" i="18"/>
  <c r="X23" i="18"/>
  <c r="Y23" i="18"/>
  <c r="Z23" i="18"/>
  <c r="AA23" i="18"/>
  <c r="AB23" i="18"/>
  <c r="AC23" i="18"/>
  <c r="R24" i="18"/>
  <c r="S24" i="18"/>
  <c r="T24" i="18"/>
  <c r="U24" i="18"/>
  <c r="V24" i="18"/>
  <c r="W24" i="18"/>
  <c r="X24" i="18"/>
  <c r="Y24" i="18"/>
  <c r="Z24" i="18"/>
  <c r="AA24" i="18"/>
  <c r="AB24" i="18"/>
  <c r="AC24" i="18"/>
  <c r="R25" i="18"/>
  <c r="S25" i="18"/>
  <c r="T25" i="18"/>
  <c r="U25" i="18"/>
  <c r="V25" i="18"/>
  <c r="W25" i="18"/>
  <c r="X25" i="18"/>
  <c r="Y25" i="18"/>
  <c r="Z25" i="18"/>
  <c r="AA25" i="18"/>
  <c r="AB25" i="18"/>
  <c r="AC25" i="18"/>
  <c r="R26" i="18"/>
  <c r="S26" i="18"/>
  <c r="T26" i="18"/>
  <c r="U26" i="18"/>
  <c r="V26" i="18"/>
  <c r="W26" i="18"/>
  <c r="X26" i="18"/>
  <c r="Y26" i="18"/>
  <c r="Z26" i="18"/>
  <c r="AA26" i="18"/>
  <c r="AB26" i="18"/>
  <c r="AC26" i="18"/>
  <c r="R27" i="18"/>
  <c r="S27" i="18"/>
  <c r="T27" i="18"/>
  <c r="U27" i="18"/>
  <c r="V27" i="18"/>
  <c r="W27" i="18"/>
  <c r="X27" i="18"/>
  <c r="Y27" i="18"/>
  <c r="Z27" i="18"/>
  <c r="AA27" i="18"/>
  <c r="AB27" i="18"/>
  <c r="AC27" i="18"/>
  <c r="AB4" i="18"/>
  <c r="AC4" i="18"/>
  <c r="Y4" i="18"/>
  <c r="Z4" i="18"/>
  <c r="V4" i="18"/>
  <c r="W4" i="18"/>
  <c r="S4" i="18"/>
  <c r="T4" i="18"/>
  <c r="AA4" i="18"/>
  <c r="X4" i="18"/>
  <c r="U4" i="18"/>
  <c r="R4" i="18"/>
  <c r="R6" i="17"/>
  <c r="S6" i="17"/>
  <c r="T6" i="17"/>
  <c r="U6" i="17"/>
  <c r="V6" i="17"/>
  <c r="W6" i="17"/>
  <c r="X6" i="17"/>
  <c r="Y6" i="17"/>
  <c r="Z6" i="17"/>
  <c r="AA6" i="17"/>
  <c r="AB6" i="17"/>
  <c r="AC6" i="17"/>
  <c r="R7" i="17"/>
  <c r="S7" i="17"/>
  <c r="T7" i="17"/>
  <c r="U7" i="17"/>
  <c r="V7" i="17"/>
  <c r="W7" i="17"/>
  <c r="X7" i="17"/>
  <c r="Y7" i="17"/>
  <c r="Z7" i="17"/>
  <c r="AA7" i="17"/>
  <c r="AB7" i="17"/>
  <c r="AC7" i="17"/>
  <c r="R8" i="17"/>
  <c r="S8" i="17"/>
  <c r="T8" i="17"/>
  <c r="U8" i="17"/>
  <c r="V8" i="17"/>
  <c r="W8" i="17"/>
  <c r="X8" i="17"/>
  <c r="Y8" i="17"/>
  <c r="Z8" i="17"/>
  <c r="AA8" i="17"/>
  <c r="AB8" i="17"/>
  <c r="AC8" i="17"/>
  <c r="R9" i="17"/>
  <c r="S9" i="17"/>
  <c r="T9" i="17"/>
  <c r="U9" i="17"/>
  <c r="V9" i="17"/>
  <c r="W9" i="17"/>
  <c r="X9" i="17"/>
  <c r="Y9" i="17"/>
  <c r="Z9" i="17"/>
  <c r="AA9" i="17"/>
  <c r="AB9" i="17"/>
  <c r="AC9" i="17"/>
  <c r="R10" i="17"/>
  <c r="S10" i="17"/>
  <c r="T10" i="17"/>
  <c r="U10" i="17"/>
  <c r="V10" i="17"/>
  <c r="W10" i="17"/>
  <c r="X10" i="17"/>
  <c r="Y10" i="17"/>
  <c r="Z10" i="17"/>
  <c r="AA10" i="17"/>
  <c r="AB10" i="17"/>
  <c r="AC10" i="17"/>
  <c r="R11" i="17"/>
  <c r="S11" i="17"/>
  <c r="T11" i="17"/>
  <c r="U11" i="17"/>
  <c r="V11" i="17"/>
  <c r="W11" i="17"/>
  <c r="X11" i="17"/>
  <c r="Y11" i="17"/>
  <c r="Z11" i="17"/>
  <c r="AA11" i="17"/>
  <c r="AB11" i="17"/>
  <c r="AC11" i="17"/>
  <c r="R12" i="17"/>
  <c r="S12" i="17"/>
  <c r="T12" i="17"/>
  <c r="U12" i="17"/>
  <c r="V12" i="17"/>
  <c r="W12" i="17"/>
  <c r="X12" i="17"/>
  <c r="Y12" i="17"/>
  <c r="Z12" i="17"/>
  <c r="AA12" i="17"/>
  <c r="AB12" i="17"/>
  <c r="AC12" i="17"/>
  <c r="R13" i="17"/>
  <c r="S13" i="17"/>
  <c r="T13" i="17"/>
  <c r="U13" i="17"/>
  <c r="V13" i="17"/>
  <c r="W13" i="17"/>
  <c r="X13" i="17"/>
  <c r="Y13" i="17"/>
  <c r="Z13" i="17"/>
  <c r="AA13" i="17"/>
  <c r="AB13" i="17"/>
  <c r="AC13" i="17"/>
  <c r="R14" i="17"/>
  <c r="S14" i="17"/>
  <c r="T14" i="17"/>
  <c r="U14" i="17"/>
  <c r="V14" i="17"/>
  <c r="W14" i="17"/>
  <c r="X14" i="17"/>
  <c r="Y14" i="17"/>
  <c r="Z14" i="17"/>
  <c r="AA14" i="17"/>
  <c r="AB14" i="17"/>
  <c r="AC14" i="17"/>
  <c r="R15" i="17"/>
  <c r="S15" i="17"/>
  <c r="T15" i="17"/>
  <c r="U15" i="17"/>
  <c r="V15" i="17"/>
  <c r="W15" i="17"/>
  <c r="X15" i="17"/>
  <c r="Y15" i="17"/>
  <c r="Z15" i="17"/>
  <c r="AA15" i="17"/>
  <c r="AB15" i="17"/>
  <c r="AC15" i="17"/>
  <c r="R16" i="17"/>
  <c r="S16" i="17"/>
  <c r="T16" i="17"/>
  <c r="U16" i="17"/>
  <c r="V16" i="17"/>
  <c r="W16" i="17"/>
  <c r="X16" i="17"/>
  <c r="Y16" i="17"/>
  <c r="Z16" i="17"/>
  <c r="AA16" i="17"/>
  <c r="AB16" i="17"/>
  <c r="AC16" i="17"/>
  <c r="R17" i="17"/>
  <c r="S17" i="17"/>
  <c r="T17" i="17"/>
  <c r="U17" i="17"/>
  <c r="V17" i="17"/>
  <c r="W17" i="17"/>
  <c r="X17" i="17"/>
  <c r="Y17" i="17"/>
  <c r="Z17" i="17"/>
  <c r="AA17" i="17"/>
  <c r="AB17" i="17"/>
  <c r="AC17" i="17"/>
  <c r="R18" i="17"/>
  <c r="S18" i="17"/>
  <c r="T18" i="17"/>
  <c r="U18" i="17"/>
  <c r="V18" i="17"/>
  <c r="W18" i="17"/>
  <c r="X18" i="17"/>
  <c r="Y18" i="17"/>
  <c r="Z18" i="17"/>
  <c r="AA18" i="17"/>
  <c r="AB18" i="17"/>
  <c r="AC18" i="17"/>
  <c r="R19" i="17"/>
  <c r="S19" i="17"/>
  <c r="T19" i="17"/>
  <c r="U19" i="17"/>
  <c r="V19" i="17"/>
  <c r="W19" i="17"/>
  <c r="X19" i="17"/>
  <c r="Y19" i="17"/>
  <c r="Z19" i="17"/>
  <c r="AA19" i="17"/>
  <c r="AB19" i="17"/>
  <c r="AC19" i="17"/>
  <c r="R20" i="17"/>
  <c r="S20" i="17"/>
  <c r="T20" i="17"/>
  <c r="U20" i="17"/>
  <c r="V20" i="17"/>
  <c r="W20" i="17"/>
  <c r="X20" i="17"/>
  <c r="Y20" i="17"/>
  <c r="Z20" i="17"/>
  <c r="AA20" i="17"/>
  <c r="AB20" i="17"/>
  <c r="AC20" i="17"/>
  <c r="R21" i="17"/>
  <c r="S21" i="17"/>
  <c r="T21" i="17"/>
  <c r="U21" i="17"/>
  <c r="V21" i="17"/>
  <c r="W21" i="17"/>
  <c r="X21" i="17"/>
  <c r="Y21" i="17"/>
  <c r="Z21" i="17"/>
  <c r="AA21" i="17"/>
  <c r="AB21" i="17"/>
  <c r="AC21" i="17"/>
  <c r="R22" i="17"/>
  <c r="S22" i="17"/>
  <c r="T22" i="17"/>
  <c r="U22" i="17"/>
  <c r="V22" i="17"/>
  <c r="W22" i="17"/>
  <c r="X22" i="17"/>
  <c r="Y22" i="17"/>
  <c r="Z22" i="17"/>
  <c r="AA22" i="17"/>
  <c r="AB22" i="17"/>
  <c r="AC22" i="17"/>
  <c r="R23" i="17"/>
  <c r="S23" i="17"/>
  <c r="T23" i="17"/>
  <c r="U23" i="17"/>
  <c r="V23" i="17"/>
  <c r="W23" i="17"/>
  <c r="X23" i="17"/>
  <c r="Y23" i="17"/>
  <c r="Z23" i="17"/>
  <c r="AA23" i="17"/>
  <c r="AB23" i="17"/>
  <c r="AC23" i="17"/>
  <c r="R24" i="17"/>
  <c r="S24" i="17"/>
  <c r="T24" i="17"/>
  <c r="U24" i="17"/>
  <c r="V24" i="17"/>
  <c r="W24" i="17"/>
  <c r="X24" i="17"/>
  <c r="Y24" i="17"/>
  <c r="Z24" i="17"/>
  <c r="AA24" i="17"/>
  <c r="AB24" i="17"/>
  <c r="AC24" i="17"/>
  <c r="R25" i="17"/>
  <c r="S25" i="17"/>
  <c r="T25" i="17"/>
  <c r="U25" i="17"/>
  <c r="V25" i="17"/>
  <c r="W25" i="17"/>
  <c r="X25" i="17"/>
  <c r="Y25" i="17"/>
  <c r="Z25" i="17"/>
  <c r="AA25" i="17"/>
  <c r="AB25" i="17"/>
  <c r="AC25" i="17"/>
  <c r="R26" i="17"/>
  <c r="S26" i="17"/>
  <c r="T26" i="17"/>
  <c r="U26" i="17"/>
  <c r="V26" i="17"/>
  <c r="W26" i="17"/>
  <c r="X26" i="17"/>
  <c r="Y26" i="17"/>
  <c r="Z26" i="17"/>
  <c r="AA26" i="17"/>
  <c r="AB26" i="17"/>
  <c r="AC26" i="17"/>
  <c r="R27" i="17"/>
  <c r="S27" i="17"/>
  <c r="T27" i="17"/>
  <c r="U27" i="17"/>
  <c r="V27" i="17"/>
  <c r="W27" i="17"/>
  <c r="X27" i="17"/>
  <c r="Y27" i="17"/>
  <c r="Z27" i="17"/>
  <c r="AA27" i="17"/>
  <c r="AB27" i="17"/>
  <c r="AC27" i="17"/>
  <c r="R28" i="17"/>
  <c r="S28" i="17"/>
  <c r="T28" i="17"/>
  <c r="U28" i="17"/>
  <c r="V28" i="17"/>
  <c r="W28" i="17"/>
  <c r="X28" i="17"/>
  <c r="Y28" i="17"/>
  <c r="Z28" i="17"/>
  <c r="AA28" i="17"/>
  <c r="AB28" i="17"/>
  <c r="AC28" i="17"/>
  <c r="R29" i="17"/>
  <c r="S29" i="17"/>
  <c r="T29" i="17"/>
  <c r="U29" i="17"/>
  <c r="V29" i="17"/>
  <c r="W29" i="17"/>
  <c r="X29" i="17"/>
  <c r="Y29" i="17"/>
  <c r="Z29" i="17"/>
  <c r="AA29" i="17"/>
  <c r="AB29" i="17"/>
  <c r="AC29" i="17"/>
  <c r="R30" i="17"/>
  <c r="S30" i="17"/>
  <c r="T30" i="17"/>
  <c r="U30" i="17"/>
  <c r="V30" i="17"/>
  <c r="W30" i="17"/>
  <c r="X30" i="17"/>
  <c r="Y30" i="17"/>
  <c r="Z30" i="17"/>
  <c r="AA30" i="17"/>
  <c r="AB30" i="17"/>
  <c r="AC30" i="17"/>
  <c r="R31" i="17"/>
  <c r="S31" i="17"/>
  <c r="T31" i="17"/>
  <c r="U31" i="17"/>
  <c r="V31" i="17"/>
  <c r="W31" i="17"/>
  <c r="X31" i="17"/>
  <c r="Y31" i="17"/>
  <c r="Z31" i="17"/>
  <c r="AA31" i="17"/>
  <c r="AB31" i="17"/>
  <c r="AC31" i="17"/>
  <c r="R32" i="17"/>
  <c r="S32" i="17"/>
  <c r="T32" i="17"/>
  <c r="U32" i="17"/>
  <c r="V32" i="17"/>
  <c r="W32" i="17"/>
  <c r="X32" i="17"/>
  <c r="Y32" i="17"/>
  <c r="Z32" i="17"/>
  <c r="AA32" i="17"/>
  <c r="AB32" i="17"/>
  <c r="AC32" i="17"/>
  <c r="R33" i="17"/>
  <c r="S33" i="17"/>
  <c r="T33" i="17"/>
  <c r="U33" i="17"/>
  <c r="V33" i="17"/>
  <c r="W33" i="17"/>
  <c r="X33" i="17"/>
  <c r="Y33" i="17"/>
  <c r="Z33" i="17"/>
  <c r="AA33" i="17"/>
  <c r="AB33" i="17"/>
  <c r="AC33" i="17"/>
  <c r="R34" i="17"/>
  <c r="S34" i="17"/>
  <c r="T34" i="17"/>
  <c r="U34" i="17"/>
  <c r="V34" i="17"/>
  <c r="W34" i="17"/>
  <c r="X34" i="17"/>
  <c r="Y34" i="17"/>
  <c r="Z34" i="17"/>
  <c r="AA34" i="17"/>
  <c r="AB34" i="17"/>
  <c r="AC34" i="17"/>
  <c r="R35" i="17"/>
  <c r="S35" i="17"/>
  <c r="T35" i="17"/>
  <c r="U35" i="17"/>
  <c r="V35" i="17"/>
  <c r="W35" i="17"/>
  <c r="X35" i="17"/>
  <c r="Y35" i="17"/>
  <c r="Z35" i="17"/>
  <c r="AA35" i="17"/>
  <c r="AB35" i="17"/>
  <c r="AC35" i="17"/>
  <c r="R36" i="17"/>
  <c r="S36" i="17"/>
  <c r="T36" i="17"/>
  <c r="U36" i="17"/>
  <c r="V36" i="17"/>
  <c r="W36" i="17"/>
  <c r="X36" i="17"/>
  <c r="Y36" i="17"/>
  <c r="Z36" i="17"/>
  <c r="AA36" i="17"/>
  <c r="AB36" i="17"/>
  <c r="AC36" i="17"/>
  <c r="R37" i="17"/>
  <c r="S37" i="17"/>
  <c r="T37" i="17"/>
  <c r="U37" i="17"/>
  <c r="V37" i="17"/>
  <c r="W37" i="17"/>
  <c r="X37" i="17"/>
  <c r="Y37" i="17"/>
  <c r="Z37" i="17"/>
  <c r="AA37" i="17"/>
  <c r="AB37" i="17"/>
  <c r="AC37" i="17"/>
  <c r="R38" i="17"/>
  <c r="S38" i="17"/>
  <c r="T38" i="17"/>
  <c r="U38" i="17"/>
  <c r="V38" i="17"/>
  <c r="W38" i="17"/>
  <c r="X38" i="17"/>
  <c r="Y38" i="17"/>
  <c r="Z38" i="17"/>
  <c r="AA38" i="17"/>
  <c r="AB38" i="17"/>
  <c r="AC38" i="17"/>
  <c r="R39" i="17"/>
  <c r="S39" i="17"/>
  <c r="T39" i="17"/>
  <c r="U39" i="17"/>
  <c r="V39" i="17"/>
  <c r="W39" i="17"/>
  <c r="X39" i="17"/>
  <c r="Y39" i="17"/>
  <c r="Z39" i="17"/>
  <c r="AA39" i="17"/>
  <c r="AB39" i="17"/>
  <c r="AC39" i="17"/>
  <c r="AB5" i="17"/>
  <c r="AC5" i="17"/>
  <c r="Y5" i="17"/>
  <c r="Z5" i="17"/>
  <c r="V5" i="17"/>
  <c r="W5" i="17"/>
  <c r="S5" i="17"/>
  <c r="T5" i="17"/>
  <c r="AA5" i="17"/>
  <c r="X5" i="17"/>
  <c r="U5" i="17"/>
  <c r="R5" i="17"/>
  <c r="R8" i="16"/>
  <c r="S8" i="16"/>
  <c r="T8" i="16"/>
  <c r="U8" i="16"/>
  <c r="V8" i="16"/>
  <c r="W8" i="16"/>
  <c r="X8" i="16"/>
  <c r="Y8" i="16"/>
  <c r="Z8" i="16"/>
  <c r="AA8" i="16"/>
  <c r="AB8" i="16"/>
  <c r="AC8" i="16"/>
  <c r="R9" i="16"/>
  <c r="S9" i="16"/>
  <c r="T9" i="16"/>
  <c r="U9" i="16"/>
  <c r="V9" i="16"/>
  <c r="W9" i="16"/>
  <c r="X9" i="16"/>
  <c r="Y9" i="16"/>
  <c r="Z9" i="16"/>
  <c r="AA9" i="16"/>
  <c r="AB9" i="16"/>
  <c r="AC9" i="16"/>
  <c r="R10" i="16"/>
  <c r="S10" i="16"/>
  <c r="T10" i="16"/>
  <c r="U10" i="16"/>
  <c r="V10" i="16"/>
  <c r="W10" i="16"/>
  <c r="X10" i="16"/>
  <c r="Y10" i="16"/>
  <c r="Z10" i="16"/>
  <c r="AA10" i="16"/>
  <c r="AB10" i="16"/>
  <c r="AC10" i="16"/>
  <c r="R11" i="16"/>
  <c r="S11" i="16"/>
  <c r="T11" i="16"/>
  <c r="U11" i="16"/>
  <c r="V11" i="16"/>
  <c r="W11" i="16"/>
  <c r="X11" i="16"/>
  <c r="Y11" i="16"/>
  <c r="Z11" i="16"/>
  <c r="AA11" i="16"/>
  <c r="AB11" i="16"/>
  <c r="AC11" i="16"/>
  <c r="R12" i="16"/>
  <c r="S12" i="16"/>
  <c r="T12" i="16"/>
  <c r="U12" i="16"/>
  <c r="V12" i="16"/>
  <c r="W12" i="16"/>
  <c r="X12" i="16"/>
  <c r="Y12" i="16"/>
  <c r="Z12" i="16"/>
  <c r="AA12" i="16"/>
  <c r="AB12" i="16"/>
  <c r="AC12" i="16"/>
  <c r="R13" i="16"/>
  <c r="S13" i="16"/>
  <c r="T13" i="16"/>
  <c r="U13" i="16"/>
  <c r="V13" i="16"/>
  <c r="W13" i="16"/>
  <c r="X13" i="16"/>
  <c r="Y13" i="16"/>
  <c r="Z13" i="16"/>
  <c r="AA13" i="16"/>
  <c r="AB13" i="16"/>
  <c r="AC13" i="16"/>
  <c r="R14" i="16"/>
  <c r="S14" i="16"/>
  <c r="T14" i="16"/>
  <c r="U14" i="16"/>
  <c r="V14" i="16"/>
  <c r="W14" i="16"/>
  <c r="X14" i="16"/>
  <c r="Y14" i="16"/>
  <c r="Z14" i="16"/>
  <c r="AA14" i="16"/>
  <c r="AB14" i="16"/>
  <c r="AC14" i="16"/>
  <c r="R15" i="16"/>
  <c r="S15" i="16"/>
  <c r="T15" i="16"/>
  <c r="U15" i="16"/>
  <c r="V15" i="16"/>
  <c r="W15" i="16"/>
  <c r="X15" i="16"/>
  <c r="Y15" i="16"/>
  <c r="Z15" i="16"/>
  <c r="AA15" i="16"/>
  <c r="AB15" i="16"/>
  <c r="AC15" i="16"/>
  <c r="R16" i="16"/>
  <c r="S16" i="16"/>
  <c r="T16" i="16"/>
  <c r="U16" i="16"/>
  <c r="V16" i="16"/>
  <c r="W16" i="16"/>
  <c r="X16" i="16"/>
  <c r="Y16" i="16"/>
  <c r="Z16" i="16"/>
  <c r="AA16" i="16"/>
  <c r="AB16" i="16"/>
  <c r="AC16" i="16"/>
  <c r="R17" i="16"/>
  <c r="S17" i="16"/>
  <c r="T17" i="16"/>
  <c r="U17" i="16"/>
  <c r="V17" i="16"/>
  <c r="W17" i="16"/>
  <c r="X17" i="16"/>
  <c r="Y17" i="16"/>
  <c r="Z17" i="16"/>
  <c r="AA17" i="16"/>
  <c r="AB17" i="16"/>
  <c r="AC17" i="16"/>
  <c r="R18" i="16"/>
  <c r="S18" i="16"/>
  <c r="T18" i="16"/>
  <c r="U18" i="16"/>
  <c r="V18" i="16"/>
  <c r="W18" i="16"/>
  <c r="X18" i="16"/>
  <c r="Y18" i="16"/>
  <c r="Z18" i="16"/>
  <c r="AA18" i="16"/>
  <c r="AB18" i="16"/>
  <c r="AC18" i="16"/>
  <c r="R19" i="16"/>
  <c r="S19" i="16"/>
  <c r="T19" i="16"/>
  <c r="U19" i="16"/>
  <c r="V19" i="16"/>
  <c r="W19" i="16"/>
  <c r="X19" i="16"/>
  <c r="Y19" i="16"/>
  <c r="Z19" i="16"/>
  <c r="AA19" i="16"/>
  <c r="AB19" i="16"/>
  <c r="AC19" i="16"/>
  <c r="R20" i="16"/>
  <c r="S20" i="16"/>
  <c r="T20" i="16"/>
  <c r="U20" i="16"/>
  <c r="V20" i="16"/>
  <c r="W20" i="16"/>
  <c r="X20" i="16"/>
  <c r="Y20" i="16"/>
  <c r="Z20" i="16"/>
  <c r="AA20" i="16"/>
  <c r="AB20" i="16"/>
  <c r="AC20" i="16"/>
  <c r="R21" i="16"/>
  <c r="S21" i="16"/>
  <c r="T21" i="16"/>
  <c r="U21" i="16"/>
  <c r="V21" i="16"/>
  <c r="W21" i="16"/>
  <c r="X21" i="16"/>
  <c r="Y21" i="16"/>
  <c r="Z21" i="16"/>
  <c r="AA21" i="16"/>
  <c r="AB21" i="16"/>
  <c r="AC21" i="16"/>
  <c r="R22" i="16"/>
  <c r="S22" i="16"/>
  <c r="T22" i="16"/>
  <c r="U22" i="16"/>
  <c r="V22" i="16"/>
  <c r="W22" i="16"/>
  <c r="X22" i="16"/>
  <c r="Y22" i="16"/>
  <c r="Z22" i="16"/>
  <c r="AA22" i="16"/>
  <c r="AB22" i="16"/>
  <c r="AC22" i="16"/>
  <c r="R23" i="16"/>
  <c r="S23" i="16"/>
  <c r="T23" i="16"/>
  <c r="U23" i="16"/>
  <c r="V23" i="16"/>
  <c r="W23" i="16"/>
  <c r="X23" i="16"/>
  <c r="Y23" i="16"/>
  <c r="Z23" i="16"/>
  <c r="AA23" i="16"/>
  <c r="AB23" i="16"/>
  <c r="AC23" i="16"/>
  <c r="R24" i="16"/>
  <c r="S24" i="16"/>
  <c r="T24" i="16"/>
  <c r="U24" i="16"/>
  <c r="V24" i="16"/>
  <c r="W24" i="16"/>
  <c r="X24" i="16"/>
  <c r="Y24" i="16"/>
  <c r="Z24" i="16"/>
  <c r="AA24" i="16"/>
  <c r="AB24" i="16"/>
  <c r="AC24" i="16"/>
  <c r="R25" i="16"/>
  <c r="S25" i="16"/>
  <c r="T25" i="16"/>
  <c r="U25" i="16"/>
  <c r="V25" i="16"/>
  <c r="W25" i="16"/>
  <c r="X25" i="16"/>
  <c r="Y25" i="16"/>
  <c r="Z25" i="16"/>
  <c r="AA25" i="16"/>
  <c r="AB25" i="16"/>
  <c r="AC25" i="16"/>
  <c r="R26" i="16"/>
  <c r="S26" i="16"/>
  <c r="T26" i="16"/>
  <c r="U26" i="16"/>
  <c r="V26" i="16"/>
  <c r="W26" i="16"/>
  <c r="X26" i="16"/>
  <c r="Y26" i="16"/>
  <c r="Z26" i="16"/>
  <c r="AA26" i="16"/>
  <c r="AB26" i="16"/>
  <c r="AC26" i="16"/>
  <c r="R27" i="16"/>
  <c r="S27" i="16"/>
  <c r="T27" i="16"/>
  <c r="U27" i="16"/>
  <c r="V27" i="16"/>
  <c r="W27" i="16"/>
  <c r="X27" i="16"/>
  <c r="Y27" i="16"/>
  <c r="Z27" i="16"/>
  <c r="AA27" i="16"/>
  <c r="AB27" i="16"/>
  <c r="AC27" i="16"/>
  <c r="R28" i="16"/>
  <c r="S28" i="16"/>
  <c r="T28" i="16"/>
  <c r="U28" i="16"/>
  <c r="V28" i="16"/>
  <c r="W28" i="16"/>
  <c r="X28" i="16"/>
  <c r="Y28" i="16"/>
  <c r="Z28" i="16"/>
  <c r="AA28" i="16"/>
  <c r="AB28" i="16"/>
  <c r="AC28" i="16"/>
  <c r="R29" i="16"/>
  <c r="S29" i="16"/>
  <c r="T29" i="16"/>
  <c r="U29" i="16"/>
  <c r="V29" i="16"/>
  <c r="W29" i="16"/>
  <c r="X29" i="16"/>
  <c r="Y29" i="16"/>
  <c r="Z29" i="16"/>
  <c r="AA29" i="16"/>
  <c r="AB29" i="16"/>
  <c r="AC29" i="16"/>
  <c r="R30" i="16"/>
  <c r="S30" i="16"/>
  <c r="T30" i="16"/>
  <c r="U30" i="16"/>
  <c r="V30" i="16"/>
  <c r="W30" i="16"/>
  <c r="X30" i="16"/>
  <c r="Y30" i="16"/>
  <c r="Z30" i="16"/>
  <c r="AA30" i="16"/>
  <c r="AB30" i="16"/>
  <c r="AC30" i="16"/>
  <c r="R31" i="16"/>
  <c r="S31" i="16"/>
  <c r="T31" i="16"/>
  <c r="U31" i="16"/>
  <c r="V31" i="16"/>
  <c r="W31" i="16"/>
  <c r="X31" i="16"/>
  <c r="Y31" i="16"/>
  <c r="Z31" i="16"/>
  <c r="AA31" i="16"/>
  <c r="AB31" i="16"/>
  <c r="AC31" i="16"/>
  <c r="R32" i="16"/>
  <c r="S32" i="16"/>
  <c r="T32" i="16"/>
  <c r="U32" i="16"/>
  <c r="V32" i="16"/>
  <c r="W32" i="16"/>
  <c r="X32" i="16"/>
  <c r="Y32" i="16"/>
  <c r="Z32" i="16"/>
  <c r="AA32" i="16"/>
  <c r="AB32" i="16"/>
  <c r="AC32" i="16"/>
  <c r="R33" i="16"/>
  <c r="S33" i="16"/>
  <c r="T33" i="16"/>
  <c r="U33" i="16"/>
  <c r="V33" i="16"/>
  <c r="W33" i="16"/>
  <c r="X33" i="16"/>
  <c r="Y33" i="16"/>
  <c r="Z33" i="16"/>
  <c r="AA33" i="16"/>
  <c r="AB33" i="16"/>
  <c r="AC33" i="16"/>
  <c r="R34" i="16"/>
  <c r="S34" i="16"/>
  <c r="T34" i="16"/>
  <c r="U34" i="16"/>
  <c r="V34" i="16"/>
  <c r="W34" i="16"/>
  <c r="X34" i="16"/>
  <c r="Y34" i="16"/>
  <c r="Z34" i="16"/>
  <c r="AA34" i="16"/>
  <c r="AB34" i="16"/>
  <c r="AC34" i="16"/>
  <c r="R35" i="16"/>
  <c r="S35" i="16"/>
  <c r="T35" i="16"/>
  <c r="U35" i="16"/>
  <c r="V35" i="16"/>
  <c r="W35" i="16"/>
  <c r="X35" i="16"/>
  <c r="Y35" i="16"/>
  <c r="Z35" i="16"/>
  <c r="AA35" i="16"/>
  <c r="AB35" i="16"/>
  <c r="AC35" i="16"/>
  <c r="R36" i="16"/>
  <c r="S36" i="16"/>
  <c r="T36" i="16"/>
  <c r="U36" i="16"/>
  <c r="V36" i="16"/>
  <c r="W36" i="16"/>
  <c r="X36" i="16"/>
  <c r="Y36" i="16"/>
  <c r="Z36" i="16"/>
  <c r="AA36" i="16"/>
  <c r="AB36" i="16"/>
  <c r="AC36" i="16"/>
  <c r="R37" i="16"/>
  <c r="S37" i="16"/>
  <c r="T37" i="16"/>
  <c r="U37" i="16"/>
  <c r="V37" i="16"/>
  <c r="W37" i="16"/>
  <c r="X37" i="16"/>
  <c r="Y37" i="16"/>
  <c r="Z37" i="16"/>
  <c r="AA37" i="16"/>
  <c r="AB37" i="16"/>
  <c r="AC37" i="16"/>
  <c r="R38" i="16"/>
  <c r="S38" i="16"/>
  <c r="T38" i="16"/>
  <c r="U38" i="16"/>
  <c r="V38" i="16"/>
  <c r="W38" i="16"/>
  <c r="X38" i="16"/>
  <c r="Y38" i="16"/>
  <c r="Z38" i="16"/>
  <c r="AA38" i="16"/>
  <c r="AB38" i="16"/>
  <c r="AC38" i="16"/>
  <c r="R39" i="16"/>
  <c r="S39" i="16"/>
  <c r="T39" i="16"/>
  <c r="U39" i="16"/>
  <c r="V39" i="16"/>
  <c r="W39" i="16"/>
  <c r="X39" i="16"/>
  <c r="Y39" i="16"/>
  <c r="Z39" i="16"/>
  <c r="AA39" i="16"/>
  <c r="AB39" i="16"/>
  <c r="AC39" i="16"/>
  <c r="AC6" i="16"/>
  <c r="AC7" i="16"/>
  <c r="AB6" i="16"/>
  <c r="AB7" i="16"/>
  <c r="AA6" i="16"/>
  <c r="AA7" i="16"/>
  <c r="Z6" i="16"/>
  <c r="Z7" i="16"/>
  <c r="Y6" i="16"/>
  <c r="Y7" i="16"/>
  <c r="T7" i="16"/>
  <c r="S7" i="16"/>
  <c r="U7" i="16"/>
  <c r="V7" i="16"/>
  <c r="W7" i="16"/>
  <c r="X6" i="16"/>
  <c r="X7" i="16"/>
  <c r="AB5" i="16"/>
  <c r="AC5" i="16"/>
  <c r="AA5" i="16"/>
  <c r="Y5" i="16"/>
  <c r="Z5" i="16"/>
  <c r="X5" i="16"/>
  <c r="V6" i="16"/>
  <c r="W6" i="16"/>
  <c r="U6" i="16"/>
  <c r="V5" i="16"/>
  <c r="W5" i="16"/>
  <c r="U5" i="16"/>
  <c r="R7" i="16"/>
  <c r="T6" i="16"/>
  <c r="S6" i="16"/>
  <c r="R6" i="16"/>
  <c r="R5" i="16"/>
  <c r="S5" i="16"/>
  <c r="T5" i="16"/>
  <c r="R6" i="15"/>
  <c r="S6" i="15"/>
  <c r="T6" i="15"/>
  <c r="U6" i="15"/>
  <c r="V6" i="15"/>
  <c r="W6" i="15"/>
  <c r="X6" i="15"/>
  <c r="Y6" i="15"/>
  <c r="Z6" i="15"/>
  <c r="AA6" i="15"/>
  <c r="AB6" i="15"/>
  <c r="AC6" i="15"/>
  <c r="R7" i="15"/>
  <c r="S7" i="15"/>
  <c r="T7" i="15"/>
  <c r="U7" i="15"/>
  <c r="V7" i="15"/>
  <c r="W7" i="15"/>
  <c r="X7" i="15"/>
  <c r="Y7" i="15"/>
  <c r="Z7" i="15"/>
  <c r="AA7" i="15"/>
  <c r="AB7" i="15"/>
  <c r="AC7" i="15"/>
  <c r="R8" i="15"/>
  <c r="S8" i="15"/>
  <c r="T8" i="15"/>
  <c r="U8" i="15"/>
  <c r="V8" i="15"/>
  <c r="W8" i="15"/>
  <c r="X8" i="15"/>
  <c r="Y8" i="15"/>
  <c r="Z8" i="15"/>
  <c r="AA8" i="15"/>
  <c r="AB8" i="15"/>
  <c r="AC8" i="15"/>
  <c r="R9" i="15"/>
  <c r="S9" i="15"/>
  <c r="T9" i="15"/>
  <c r="U9" i="15"/>
  <c r="V9" i="15"/>
  <c r="W9" i="15"/>
  <c r="X9" i="15"/>
  <c r="Y9" i="15"/>
  <c r="Z9" i="15"/>
  <c r="AA9" i="15"/>
  <c r="AB9" i="15"/>
  <c r="AC9" i="15"/>
  <c r="R10" i="15"/>
  <c r="S10" i="15"/>
  <c r="T10" i="15"/>
  <c r="U10" i="15"/>
  <c r="V10" i="15"/>
  <c r="W10" i="15"/>
  <c r="X10" i="15"/>
  <c r="Y10" i="15"/>
  <c r="Z10" i="15"/>
  <c r="AA10" i="15"/>
  <c r="AB10" i="15"/>
  <c r="AC10" i="15"/>
  <c r="R11" i="15"/>
  <c r="S11" i="15"/>
  <c r="T11" i="15"/>
  <c r="U11" i="15"/>
  <c r="V11" i="15"/>
  <c r="W11" i="15"/>
  <c r="X11" i="15"/>
  <c r="Y11" i="15"/>
  <c r="Z11" i="15"/>
  <c r="AA11" i="15"/>
  <c r="AB11" i="15"/>
  <c r="AC11" i="15"/>
  <c r="R12" i="15"/>
  <c r="S12" i="15"/>
  <c r="T12" i="15"/>
  <c r="U12" i="15"/>
  <c r="V12" i="15"/>
  <c r="W12" i="15"/>
  <c r="X12" i="15"/>
  <c r="Y12" i="15"/>
  <c r="Z12" i="15"/>
  <c r="AA12" i="15"/>
  <c r="AB12" i="15"/>
  <c r="AC12" i="15"/>
  <c r="R13" i="15"/>
  <c r="S13" i="15"/>
  <c r="T13" i="15"/>
  <c r="U13" i="15"/>
  <c r="V13" i="15"/>
  <c r="W13" i="15"/>
  <c r="X13" i="15"/>
  <c r="Y13" i="15"/>
  <c r="Z13" i="15"/>
  <c r="AA13" i="15"/>
  <c r="AB13" i="15"/>
  <c r="AC13" i="15"/>
  <c r="R14" i="15"/>
  <c r="S14" i="15"/>
  <c r="T14" i="15"/>
  <c r="U14" i="15"/>
  <c r="V14" i="15"/>
  <c r="W14" i="15"/>
  <c r="X14" i="15"/>
  <c r="Y14" i="15"/>
  <c r="Z14" i="15"/>
  <c r="AA14" i="15"/>
  <c r="AB14" i="15"/>
  <c r="AC14" i="15"/>
  <c r="R15" i="15"/>
  <c r="S15" i="15"/>
  <c r="T15" i="15"/>
  <c r="U15" i="15"/>
  <c r="V15" i="15"/>
  <c r="W15" i="15"/>
  <c r="X15" i="15"/>
  <c r="Y15" i="15"/>
  <c r="Z15" i="15"/>
  <c r="AA15" i="15"/>
  <c r="AB15" i="15"/>
  <c r="AC15" i="15"/>
  <c r="R16" i="15"/>
  <c r="S16" i="15"/>
  <c r="T16" i="15"/>
  <c r="U16" i="15"/>
  <c r="V16" i="15"/>
  <c r="W16" i="15"/>
  <c r="X16" i="15"/>
  <c r="Y16" i="15"/>
  <c r="Z16" i="15"/>
  <c r="AA16" i="15"/>
  <c r="AB16" i="15"/>
  <c r="AC16" i="15"/>
  <c r="R17" i="15"/>
  <c r="S17" i="15"/>
  <c r="T17" i="15"/>
  <c r="U17" i="15"/>
  <c r="V17" i="15"/>
  <c r="W17" i="15"/>
  <c r="X17" i="15"/>
  <c r="Y17" i="15"/>
  <c r="Z17" i="15"/>
  <c r="AA17" i="15"/>
  <c r="AB17" i="15"/>
  <c r="AC17" i="15"/>
  <c r="R18" i="15"/>
  <c r="S18" i="15"/>
  <c r="T18" i="15"/>
  <c r="U18" i="15"/>
  <c r="V18" i="15"/>
  <c r="W18" i="15"/>
  <c r="X18" i="15"/>
  <c r="Y18" i="15"/>
  <c r="Z18" i="15"/>
  <c r="AA18" i="15"/>
  <c r="AB18" i="15"/>
  <c r="AC18" i="15"/>
  <c r="R19" i="15"/>
  <c r="S19" i="15"/>
  <c r="T19" i="15"/>
  <c r="U19" i="15"/>
  <c r="V19" i="15"/>
  <c r="W19" i="15"/>
  <c r="X19" i="15"/>
  <c r="Y19" i="15"/>
  <c r="Z19" i="15"/>
  <c r="AA19" i="15"/>
  <c r="AB19" i="15"/>
  <c r="AC19" i="15"/>
  <c r="R20" i="15"/>
  <c r="S20" i="15"/>
  <c r="T20" i="15"/>
  <c r="U20" i="15"/>
  <c r="V20" i="15"/>
  <c r="W20" i="15"/>
  <c r="X20" i="15"/>
  <c r="Y20" i="15"/>
  <c r="Z20" i="15"/>
  <c r="AA20" i="15"/>
  <c r="AB20" i="15"/>
  <c r="AC20" i="15"/>
  <c r="R21" i="15"/>
  <c r="S21" i="15"/>
  <c r="T21" i="15"/>
  <c r="U21" i="15"/>
  <c r="V21" i="15"/>
  <c r="W21" i="15"/>
  <c r="X21" i="15"/>
  <c r="Y21" i="15"/>
  <c r="Z21" i="15"/>
  <c r="AA21" i="15"/>
  <c r="AB21" i="15"/>
  <c r="AC21" i="15"/>
  <c r="R22" i="15"/>
  <c r="S22" i="15"/>
  <c r="T22" i="15"/>
  <c r="U22" i="15"/>
  <c r="V22" i="15"/>
  <c r="W22" i="15"/>
  <c r="X22" i="15"/>
  <c r="Y22" i="15"/>
  <c r="Z22" i="15"/>
  <c r="AA22" i="15"/>
  <c r="AB22" i="15"/>
  <c r="AC22" i="15"/>
  <c r="R23" i="15"/>
  <c r="S23" i="15"/>
  <c r="T23" i="15"/>
  <c r="U23" i="15"/>
  <c r="V23" i="15"/>
  <c r="W23" i="15"/>
  <c r="X23" i="15"/>
  <c r="Y23" i="15"/>
  <c r="Z23" i="15"/>
  <c r="AA23" i="15"/>
  <c r="AB23" i="15"/>
  <c r="AC23" i="15"/>
  <c r="R24" i="15"/>
  <c r="S24" i="15"/>
  <c r="T24" i="15"/>
  <c r="U24" i="15"/>
  <c r="V24" i="15"/>
  <c r="W24" i="15"/>
  <c r="X24" i="15"/>
  <c r="Y24" i="15"/>
  <c r="Z24" i="15"/>
  <c r="AA24" i="15"/>
  <c r="AB24" i="15"/>
  <c r="AC24" i="15"/>
  <c r="R25" i="15"/>
  <c r="S25" i="15"/>
  <c r="T25" i="15"/>
  <c r="U25" i="15"/>
  <c r="V25" i="15"/>
  <c r="W25" i="15"/>
  <c r="X25" i="15"/>
  <c r="Y25" i="15"/>
  <c r="Z25" i="15"/>
  <c r="AA25" i="15"/>
  <c r="AB25" i="15"/>
  <c r="AC25" i="15"/>
  <c r="R26" i="15"/>
  <c r="S26" i="15"/>
  <c r="T26" i="15"/>
  <c r="U26" i="15"/>
  <c r="V26" i="15"/>
  <c r="W26" i="15"/>
  <c r="X26" i="15"/>
  <c r="Y26" i="15"/>
  <c r="Z26" i="15"/>
  <c r="AA26" i="15"/>
  <c r="AB26" i="15"/>
  <c r="AC26" i="15"/>
  <c r="R27" i="15"/>
  <c r="S27" i="15"/>
  <c r="T27" i="15"/>
  <c r="U27" i="15"/>
  <c r="V27" i="15"/>
  <c r="W27" i="15"/>
  <c r="X27" i="15"/>
  <c r="Y27" i="15"/>
  <c r="Z27" i="15"/>
  <c r="AA27" i="15"/>
  <c r="AB27" i="15"/>
  <c r="AC27" i="15"/>
  <c r="R28" i="15"/>
  <c r="S28" i="15"/>
  <c r="T28" i="15"/>
  <c r="U28" i="15"/>
  <c r="V28" i="15"/>
  <c r="W28" i="15"/>
  <c r="X28" i="15"/>
  <c r="Y28" i="15"/>
  <c r="Z28" i="15"/>
  <c r="AA28" i="15"/>
  <c r="AB28" i="15"/>
  <c r="AC28" i="15"/>
  <c r="R29" i="15"/>
  <c r="S29" i="15"/>
  <c r="T29" i="15"/>
  <c r="U29" i="15"/>
  <c r="V29" i="15"/>
  <c r="W29" i="15"/>
  <c r="X29" i="15"/>
  <c r="Y29" i="15"/>
  <c r="Z29" i="15"/>
  <c r="AA29" i="15"/>
  <c r="AB29" i="15"/>
  <c r="AC29" i="15"/>
  <c r="R30" i="15"/>
  <c r="S30" i="15"/>
  <c r="T30" i="15"/>
  <c r="U30" i="15"/>
  <c r="V30" i="15"/>
  <c r="W30" i="15"/>
  <c r="X30" i="15"/>
  <c r="Y30" i="15"/>
  <c r="Z30" i="15"/>
  <c r="AA30" i="15"/>
  <c r="AB30" i="15"/>
  <c r="AC30" i="15"/>
  <c r="R31" i="15"/>
  <c r="S31" i="15"/>
  <c r="T31" i="15"/>
  <c r="U31" i="15"/>
  <c r="V31" i="15"/>
  <c r="W31" i="15"/>
  <c r="X31" i="15"/>
  <c r="Y31" i="15"/>
  <c r="Z31" i="15"/>
  <c r="AA31" i="15"/>
  <c r="AB31" i="15"/>
  <c r="AC31" i="15"/>
  <c r="R32" i="15"/>
  <c r="S32" i="15"/>
  <c r="T32" i="15"/>
  <c r="U32" i="15"/>
  <c r="V32" i="15"/>
  <c r="W32" i="15"/>
  <c r="X32" i="15"/>
  <c r="Y32" i="15"/>
  <c r="Z32" i="15"/>
  <c r="AA32" i="15"/>
  <c r="AB32" i="15"/>
  <c r="AC32" i="15"/>
  <c r="R33" i="15"/>
  <c r="S33" i="15"/>
  <c r="T33" i="15"/>
  <c r="U33" i="15"/>
  <c r="V33" i="15"/>
  <c r="W33" i="15"/>
  <c r="X33" i="15"/>
  <c r="Y33" i="15"/>
  <c r="Z33" i="15"/>
  <c r="AA33" i="15"/>
  <c r="AB33" i="15"/>
  <c r="AC33" i="15"/>
  <c r="R34" i="15"/>
  <c r="S34" i="15"/>
  <c r="T34" i="15"/>
  <c r="U34" i="15"/>
  <c r="V34" i="15"/>
  <c r="W34" i="15"/>
  <c r="X34" i="15"/>
  <c r="Y34" i="15"/>
  <c r="Z34" i="15"/>
  <c r="AA34" i="15"/>
  <c r="AB34" i="15"/>
  <c r="AC34" i="15"/>
  <c r="R35" i="15"/>
  <c r="S35" i="15"/>
  <c r="T35" i="15"/>
  <c r="U35" i="15"/>
  <c r="V35" i="15"/>
  <c r="W35" i="15"/>
  <c r="X35" i="15"/>
  <c r="Y35" i="15"/>
  <c r="Z35" i="15"/>
  <c r="AA35" i="15"/>
  <c r="AB35" i="15"/>
  <c r="AC35" i="15"/>
  <c r="R36" i="15"/>
  <c r="S36" i="15"/>
  <c r="T36" i="15"/>
  <c r="U36" i="15"/>
  <c r="V36" i="15"/>
  <c r="W36" i="15"/>
  <c r="X36" i="15"/>
  <c r="Y36" i="15"/>
  <c r="Z36" i="15"/>
  <c r="AA36" i="15"/>
  <c r="AB36" i="15"/>
  <c r="AC36" i="15"/>
  <c r="R37" i="15"/>
  <c r="S37" i="15"/>
  <c r="T37" i="15"/>
  <c r="U37" i="15"/>
  <c r="V37" i="15"/>
  <c r="W37" i="15"/>
  <c r="X37" i="15"/>
  <c r="Y37" i="15"/>
  <c r="Z37" i="15"/>
  <c r="AA37" i="15"/>
  <c r="AB37" i="15"/>
  <c r="AC37" i="15"/>
  <c r="R38" i="15"/>
  <c r="S38" i="15"/>
  <c r="T38" i="15"/>
  <c r="U38" i="15"/>
  <c r="V38" i="15"/>
  <c r="W38" i="15"/>
  <c r="X38" i="15"/>
  <c r="Y38" i="15"/>
  <c r="Z38" i="15"/>
  <c r="AA38" i="15"/>
  <c r="AB38" i="15"/>
  <c r="AC38" i="15"/>
  <c r="R39" i="15"/>
  <c r="S39" i="15"/>
  <c r="T39" i="15"/>
  <c r="U39" i="15"/>
  <c r="V39" i="15"/>
  <c r="W39" i="15"/>
  <c r="X39" i="15"/>
  <c r="Y39" i="15"/>
  <c r="Z39" i="15"/>
  <c r="AA39" i="15"/>
  <c r="AB39" i="15"/>
  <c r="AC39" i="15"/>
  <c r="AC5" i="15"/>
  <c r="AB5" i="15"/>
  <c r="AA5" i="15"/>
  <c r="Z5" i="15"/>
  <c r="Y5" i="15"/>
  <c r="X5" i="15"/>
  <c r="W5" i="15"/>
  <c r="V5" i="15"/>
  <c r="U5" i="15"/>
  <c r="T5" i="15"/>
  <c r="S5" i="15"/>
  <c r="R5" i="15"/>
  <c r="R6" i="14"/>
  <c r="S6" i="14"/>
  <c r="U6" i="14"/>
  <c r="V6" i="14"/>
  <c r="X6" i="14"/>
  <c r="Y6" i="14"/>
  <c r="AA6" i="14"/>
  <c r="AB6" i="14"/>
  <c r="R7" i="14"/>
  <c r="S7" i="14"/>
  <c r="U7" i="14"/>
  <c r="V7" i="14"/>
  <c r="X7" i="14"/>
  <c r="Y7" i="14"/>
  <c r="AA7" i="14"/>
  <c r="AB7" i="14"/>
  <c r="R8" i="14"/>
  <c r="S8" i="14"/>
  <c r="U8" i="14"/>
  <c r="V8" i="14"/>
  <c r="X8" i="14"/>
  <c r="Y8" i="14"/>
  <c r="AA8" i="14"/>
  <c r="AB8" i="14"/>
  <c r="R9" i="14"/>
  <c r="S9" i="14"/>
  <c r="U9" i="14"/>
  <c r="V9" i="14"/>
  <c r="X9" i="14"/>
  <c r="Y9" i="14"/>
  <c r="AA9" i="14"/>
  <c r="AB9" i="14"/>
  <c r="R10" i="14"/>
  <c r="S10" i="14"/>
  <c r="U10" i="14"/>
  <c r="V10" i="14"/>
  <c r="X10" i="14"/>
  <c r="Y10" i="14"/>
  <c r="AA10" i="14"/>
  <c r="AB10" i="14"/>
  <c r="R11" i="14"/>
  <c r="S11" i="14"/>
  <c r="U11" i="14"/>
  <c r="V11" i="14"/>
  <c r="X11" i="14"/>
  <c r="Y11" i="14"/>
  <c r="AA11" i="14"/>
  <c r="AB11" i="14"/>
  <c r="R12" i="14"/>
  <c r="S12" i="14"/>
  <c r="U12" i="14"/>
  <c r="V12" i="14"/>
  <c r="X12" i="14"/>
  <c r="Y12" i="14"/>
  <c r="AA12" i="14"/>
  <c r="AB12" i="14"/>
  <c r="R13" i="14"/>
  <c r="S13" i="14"/>
  <c r="U13" i="14"/>
  <c r="V13" i="14"/>
  <c r="X13" i="14"/>
  <c r="Y13" i="14"/>
  <c r="AA13" i="14"/>
  <c r="AB13" i="14"/>
  <c r="R14" i="14"/>
  <c r="S14" i="14"/>
  <c r="U14" i="14"/>
  <c r="V14" i="14"/>
  <c r="X14" i="14"/>
  <c r="Y14" i="14"/>
  <c r="AA14" i="14"/>
  <c r="AB14" i="14"/>
  <c r="R15" i="14"/>
  <c r="S15" i="14"/>
  <c r="U15" i="14"/>
  <c r="V15" i="14"/>
  <c r="X15" i="14"/>
  <c r="Y15" i="14"/>
  <c r="AA15" i="14"/>
  <c r="AB15" i="14"/>
  <c r="R16" i="14"/>
  <c r="S16" i="14"/>
  <c r="U16" i="14"/>
  <c r="V16" i="14"/>
  <c r="X16" i="14"/>
  <c r="Y16" i="14"/>
  <c r="AA16" i="14"/>
  <c r="AB16" i="14"/>
  <c r="R17" i="14"/>
  <c r="S17" i="14"/>
  <c r="U17" i="14"/>
  <c r="V17" i="14"/>
  <c r="X17" i="14"/>
  <c r="Y17" i="14"/>
  <c r="AA17" i="14"/>
  <c r="AB17" i="14"/>
  <c r="R18" i="14"/>
  <c r="S18" i="14"/>
  <c r="U18" i="14"/>
  <c r="V18" i="14"/>
  <c r="X18" i="14"/>
  <c r="Y18" i="14"/>
  <c r="AA18" i="14"/>
  <c r="AB18" i="14"/>
  <c r="R19" i="14"/>
  <c r="S19" i="14"/>
  <c r="U19" i="14"/>
  <c r="V19" i="14"/>
  <c r="X19" i="14"/>
  <c r="Y19" i="14"/>
  <c r="AA19" i="14"/>
  <c r="AB19" i="14"/>
  <c r="R20" i="14"/>
  <c r="S20" i="14"/>
  <c r="U20" i="14"/>
  <c r="V20" i="14"/>
  <c r="X20" i="14"/>
  <c r="Y20" i="14"/>
  <c r="AA20" i="14"/>
  <c r="AB20" i="14"/>
  <c r="R21" i="14"/>
  <c r="S21" i="14"/>
  <c r="U21" i="14"/>
  <c r="V21" i="14"/>
  <c r="X21" i="14"/>
  <c r="Y21" i="14"/>
  <c r="AA21" i="14"/>
  <c r="AB21" i="14"/>
  <c r="R22" i="14"/>
  <c r="S22" i="14"/>
  <c r="U22" i="14"/>
  <c r="V22" i="14"/>
  <c r="X22" i="14"/>
  <c r="Y22" i="14"/>
  <c r="AA22" i="14"/>
  <c r="AB22" i="14"/>
  <c r="R23" i="14"/>
  <c r="S23" i="14"/>
  <c r="U23" i="14"/>
  <c r="V23" i="14"/>
  <c r="X23" i="14"/>
  <c r="Y23" i="14"/>
  <c r="AA23" i="14"/>
  <c r="AB23" i="14"/>
  <c r="R24" i="14"/>
  <c r="S24" i="14"/>
  <c r="U24" i="14"/>
  <c r="V24" i="14"/>
  <c r="X24" i="14"/>
  <c r="Y24" i="14"/>
  <c r="AA24" i="14"/>
  <c r="AB24" i="14"/>
  <c r="R25" i="14"/>
  <c r="S25" i="14"/>
  <c r="U25" i="14"/>
  <c r="V25" i="14"/>
  <c r="X25" i="14"/>
  <c r="Y25" i="14"/>
  <c r="AA25" i="14"/>
  <c r="AB25" i="14"/>
  <c r="R26" i="14"/>
  <c r="S26" i="14"/>
  <c r="U26" i="14"/>
  <c r="V26" i="14"/>
  <c r="X26" i="14"/>
  <c r="Y26" i="14"/>
  <c r="AA26" i="14"/>
  <c r="AB26" i="14"/>
  <c r="R27" i="14"/>
  <c r="S27" i="14"/>
  <c r="U27" i="14"/>
  <c r="V27" i="14"/>
  <c r="X27" i="14"/>
  <c r="Y27" i="14"/>
  <c r="AA27" i="14"/>
  <c r="AB27" i="14"/>
  <c r="R28" i="14"/>
  <c r="S28" i="14"/>
  <c r="U28" i="14"/>
  <c r="V28" i="14"/>
  <c r="X28" i="14"/>
  <c r="Y28" i="14"/>
  <c r="AA28" i="14"/>
  <c r="AB28" i="14"/>
  <c r="R29" i="14"/>
  <c r="S29" i="14"/>
  <c r="U29" i="14"/>
  <c r="V29" i="14"/>
  <c r="X29" i="14"/>
  <c r="Y29" i="14"/>
  <c r="AA29" i="14"/>
  <c r="AB29" i="14"/>
  <c r="R30" i="14"/>
  <c r="S30" i="14"/>
  <c r="U30" i="14"/>
  <c r="V30" i="14"/>
  <c r="X30" i="14"/>
  <c r="Y30" i="14"/>
  <c r="AA30" i="14"/>
  <c r="AB30" i="14"/>
  <c r="R31" i="14"/>
  <c r="S31" i="14"/>
  <c r="U31" i="14"/>
  <c r="V31" i="14"/>
  <c r="X31" i="14"/>
  <c r="Y31" i="14"/>
  <c r="AA31" i="14"/>
  <c r="AB31" i="14"/>
  <c r="R32" i="14"/>
  <c r="S32" i="14"/>
  <c r="U32" i="14"/>
  <c r="V32" i="14"/>
  <c r="X32" i="14"/>
  <c r="Y32" i="14"/>
  <c r="AA32" i="14"/>
  <c r="AB32" i="14"/>
  <c r="R33" i="14"/>
  <c r="S33" i="14"/>
  <c r="U33" i="14"/>
  <c r="V33" i="14"/>
  <c r="X33" i="14"/>
  <c r="Y33" i="14"/>
  <c r="AA33" i="14"/>
  <c r="AB33" i="14"/>
  <c r="R34" i="14"/>
  <c r="S34" i="14"/>
  <c r="U34" i="14"/>
  <c r="V34" i="14"/>
  <c r="X34" i="14"/>
  <c r="Y34" i="14"/>
  <c r="AA34" i="14"/>
  <c r="AB34" i="14"/>
  <c r="R35" i="14"/>
  <c r="S35" i="14"/>
  <c r="U35" i="14"/>
  <c r="V35" i="14"/>
  <c r="X35" i="14"/>
  <c r="Y35" i="14"/>
  <c r="AA35" i="14"/>
  <c r="AB35" i="14"/>
  <c r="R36" i="14"/>
  <c r="S36" i="14"/>
  <c r="U36" i="14"/>
  <c r="V36" i="14"/>
  <c r="X36" i="14"/>
  <c r="Y36" i="14"/>
  <c r="AA36" i="14"/>
  <c r="AB36" i="14"/>
  <c r="R37" i="14"/>
  <c r="S37" i="14"/>
  <c r="U37" i="14"/>
  <c r="V37" i="14"/>
  <c r="X37" i="14"/>
  <c r="Y37" i="14"/>
  <c r="AA37" i="14"/>
  <c r="AB37" i="14"/>
  <c r="R38" i="14"/>
  <c r="S38" i="14"/>
  <c r="U38" i="14"/>
  <c r="V38" i="14"/>
  <c r="X38" i="14"/>
  <c r="Y38" i="14"/>
  <c r="AA38" i="14"/>
  <c r="AB38" i="14"/>
  <c r="R39" i="14"/>
  <c r="S39" i="14"/>
  <c r="U39" i="14"/>
  <c r="V39" i="14"/>
  <c r="X39" i="14"/>
  <c r="Y39" i="14"/>
  <c r="AA39" i="14"/>
  <c r="AB39" i="14"/>
  <c r="AB5" i="14"/>
  <c r="AA5" i="14"/>
  <c r="Y5" i="14"/>
  <c r="X5" i="14"/>
  <c r="V5" i="14"/>
  <c r="U5" i="14"/>
  <c r="S5" i="14"/>
  <c r="R5" i="14"/>
  <c r="I5" i="6"/>
  <c r="J5" i="6"/>
  <c r="K5" i="6"/>
  <c r="I6" i="6"/>
  <c r="J6" i="6"/>
  <c r="K6" i="6"/>
  <c r="I7" i="6"/>
  <c r="J7" i="6"/>
  <c r="K7" i="6"/>
  <c r="I8" i="6"/>
  <c r="J8" i="6"/>
  <c r="K8" i="6"/>
  <c r="I9" i="6"/>
  <c r="J9" i="6"/>
  <c r="K9" i="6"/>
  <c r="K4" i="6"/>
  <c r="J4" i="6"/>
  <c r="I4" i="6"/>
  <c r="I6" i="5"/>
  <c r="J6" i="5"/>
  <c r="K6" i="5"/>
  <c r="I7" i="5"/>
  <c r="J7" i="5"/>
  <c r="K7" i="5"/>
  <c r="I8" i="5"/>
  <c r="J8" i="5"/>
  <c r="K8" i="5"/>
  <c r="I9" i="5"/>
  <c r="J9" i="5"/>
  <c r="K9" i="5"/>
  <c r="I10" i="5"/>
  <c r="J10" i="5"/>
  <c r="K10" i="5"/>
  <c r="I11" i="5"/>
  <c r="J11" i="5"/>
  <c r="K11" i="5"/>
  <c r="I12" i="5"/>
  <c r="J12" i="5"/>
  <c r="K12" i="5"/>
  <c r="I13" i="5"/>
  <c r="J13" i="5"/>
  <c r="K13" i="5"/>
  <c r="I14" i="5"/>
  <c r="J14" i="5"/>
  <c r="K14" i="5"/>
  <c r="I15" i="5"/>
  <c r="J15" i="5"/>
  <c r="K15" i="5"/>
  <c r="I16" i="5"/>
  <c r="J16" i="5"/>
  <c r="K16" i="5"/>
  <c r="I17" i="5"/>
  <c r="J17" i="5"/>
  <c r="K17" i="5"/>
  <c r="I18" i="5"/>
  <c r="J18" i="5"/>
  <c r="K18" i="5"/>
  <c r="I19" i="5"/>
  <c r="J19" i="5"/>
  <c r="K19" i="5"/>
  <c r="I20" i="5"/>
  <c r="J20" i="5"/>
  <c r="K20" i="5"/>
  <c r="I21" i="5"/>
  <c r="J21" i="5"/>
  <c r="K21" i="5"/>
  <c r="I22" i="5"/>
  <c r="J22" i="5"/>
  <c r="K22" i="5"/>
  <c r="I23" i="5"/>
  <c r="J23" i="5"/>
  <c r="K23" i="5"/>
  <c r="I24" i="5"/>
  <c r="J24" i="5"/>
  <c r="K24" i="5"/>
  <c r="I25" i="5"/>
  <c r="J25" i="5"/>
  <c r="K25" i="5"/>
  <c r="I26" i="5"/>
  <c r="J26" i="5"/>
  <c r="K26" i="5"/>
  <c r="I27" i="5"/>
  <c r="J27" i="5"/>
  <c r="K27" i="5"/>
  <c r="I28" i="5"/>
  <c r="J28" i="5"/>
  <c r="K28" i="5"/>
  <c r="I29" i="5"/>
  <c r="J29" i="5"/>
  <c r="K29" i="5"/>
  <c r="I30" i="5"/>
  <c r="J30" i="5"/>
  <c r="K30" i="5"/>
  <c r="I31" i="5"/>
  <c r="J31" i="5"/>
  <c r="K31" i="5"/>
  <c r="I32" i="5"/>
  <c r="J32" i="5"/>
  <c r="K32" i="5"/>
  <c r="I33" i="5"/>
  <c r="J33" i="5"/>
  <c r="K33" i="5"/>
  <c r="I34" i="5"/>
  <c r="J34" i="5"/>
  <c r="K34" i="5"/>
  <c r="I35" i="5"/>
  <c r="J35" i="5"/>
  <c r="K35" i="5"/>
  <c r="I36" i="5"/>
  <c r="J36" i="5"/>
  <c r="K36" i="5"/>
  <c r="I37" i="5"/>
  <c r="J37" i="5"/>
  <c r="K37" i="5"/>
  <c r="I38" i="5"/>
  <c r="J38" i="5"/>
  <c r="K38" i="5"/>
  <c r="I39" i="5"/>
  <c r="J39" i="5"/>
  <c r="K39" i="5"/>
  <c r="I40" i="5"/>
  <c r="J40" i="5"/>
  <c r="K40" i="5"/>
  <c r="I41" i="5"/>
  <c r="J41" i="5"/>
  <c r="K41" i="5"/>
  <c r="I42" i="5"/>
  <c r="J42" i="5"/>
  <c r="K42" i="5"/>
  <c r="I43" i="5"/>
  <c r="J43" i="5"/>
  <c r="K43" i="5"/>
  <c r="K5" i="5"/>
  <c r="J5" i="5"/>
  <c r="I5" i="5"/>
  <c r="I6" i="4"/>
  <c r="J6" i="4"/>
  <c r="K6" i="4"/>
  <c r="I7" i="4"/>
  <c r="J7" i="4"/>
  <c r="K7" i="4"/>
  <c r="I8" i="4"/>
  <c r="J8" i="4"/>
  <c r="K8" i="4"/>
  <c r="I9" i="4"/>
  <c r="J9" i="4"/>
  <c r="K9" i="4"/>
  <c r="I10" i="4"/>
  <c r="J10" i="4"/>
  <c r="K10" i="4"/>
  <c r="I11" i="4"/>
  <c r="J11" i="4"/>
  <c r="K11" i="4"/>
  <c r="I12" i="4"/>
  <c r="J12" i="4"/>
  <c r="K12" i="4"/>
  <c r="I13" i="4"/>
  <c r="J13" i="4"/>
  <c r="K13" i="4"/>
  <c r="I14" i="4"/>
  <c r="J14" i="4"/>
  <c r="K14" i="4"/>
  <c r="I15" i="4"/>
  <c r="J15" i="4"/>
  <c r="K15" i="4"/>
  <c r="I16" i="4"/>
  <c r="J16" i="4"/>
  <c r="K16" i="4"/>
  <c r="I17" i="4"/>
  <c r="J17" i="4"/>
  <c r="K17" i="4"/>
  <c r="I18" i="4"/>
  <c r="J18" i="4"/>
  <c r="K18" i="4"/>
  <c r="I19" i="4"/>
  <c r="J19" i="4"/>
  <c r="K19" i="4"/>
  <c r="I20" i="4"/>
  <c r="J20" i="4"/>
  <c r="K20" i="4"/>
  <c r="I21" i="4"/>
  <c r="J21" i="4"/>
  <c r="K21" i="4"/>
  <c r="I22" i="4"/>
  <c r="J22" i="4"/>
  <c r="K22" i="4"/>
  <c r="I23" i="4"/>
  <c r="J23" i="4"/>
  <c r="K23" i="4"/>
  <c r="I24" i="4"/>
  <c r="J24" i="4"/>
  <c r="K24" i="4"/>
  <c r="I25" i="4"/>
  <c r="J25" i="4"/>
  <c r="K25" i="4"/>
  <c r="I26" i="4"/>
  <c r="J26" i="4"/>
  <c r="K26" i="4"/>
  <c r="I27" i="4"/>
  <c r="J27" i="4"/>
  <c r="K27" i="4"/>
  <c r="I28" i="4"/>
  <c r="J28" i="4"/>
  <c r="K28" i="4"/>
  <c r="I29" i="4"/>
  <c r="J29" i="4"/>
  <c r="K29" i="4"/>
  <c r="I30" i="4"/>
  <c r="J30" i="4"/>
  <c r="K30" i="4"/>
  <c r="I31" i="4"/>
  <c r="J31" i="4"/>
  <c r="K31" i="4"/>
  <c r="I32" i="4"/>
  <c r="J32" i="4"/>
  <c r="K32" i="4"/>
  <c r="I33" i="4"/>
  <c r="J33" i="4"/>
  <c r="K33" i="4"/>
  <c r="I34" i="4"/>
  <c r="J34" i="4"/>
  <c r="K34" i="4"/>
  <c r="I35" i="4"/>
  <c r="J35" i="4"/>
  <c r="K35" i="4"/>
  <c r="I36" i="4"/>
  <c r="J36" i="4"/>
  <c r="K36" i="4"/>
  <c r="I37" i="4"/>
  <c r="J37" i="4"/>
  <c r="K37" i="4"/>
  <c r="I38" i="4"/>
  <c r="J38" i="4"/>
  <c r="K38" i="4"/>
  <c r="I39" i="4"/>
  <c r="J39" i="4"/>
  <c r="K39" i="4"/>
  <c r="I40" i="4"/>
  <c r="J40" i="4"/>
  <c r="K40" i="4"/>
  <c r="I41" i="4"/>
  <c r="J41" i="4"/>
  <c r="K41" i="4"/>
  <c r="I42" i="4"/>
  <c r="J42" i="4"/>
  <c r="K42" i="4"/>
  <c r="I43" i="4"/>
  <c r="J43" i="4"/>
  <c r="K43" i="4"/>
  <c r="K5" i="4"/>
  <c r="J5" i="4"/>
  <c r="I5" i="4"/>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K5" i="3"/>
  <c r="J5" i="3"/>
  <c r="I5" i="3"/>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5" i="2"/>
  <c r="B36" i="113" l="1"/>
  <c r="B38" i="113"/>
  <c r="B40" i="112"/>
  <c r="B41" i="112" s="1"/>
  <c r="B37" i="112"/>
  <c r="H14" i="113"/>
  <c r="H15" i="112"/>
  <c r="D33" i="111"/>
  <c r="J6" i="110"/>
  <c r="D33" i="110"/>
  <c r="B38" i="112"/>
  <c r="B42" i="112"/>
  <c r="H11" i="113"/>
  <c r="H11" i="112"/>
  <c r="H11" i="111"/>
  <c r="H15" i="111"/>
  <c r="W24" i="108"/>
  <c r="W31" i="108"/>
  <c r="W15" i="108"/>
  <c r="N120" i="93"/>
  <c r="K49" i="93"/>
  <c r="M113" i="93"/>
  <c r="M39" i="93"/>
  <c r="P129" i="93"/>
  <c r="M23" i="93"/>
  <c r="N129" i="93"/>
  <c r="J71" i="93"/>
  <c r="K23" i="93"/>
  <c r="O39" i="93"/>
  <c r="K113" i="93"/>
  <c r="N32" i="93"/>
  <c r="J80" i="93"/>
  <c r="J123" i="93"/>
  <c r="P65" i="93"/>
  <c r="J14" i="93"/>
  <c r="P122" i="93"/>
  <c r="J4" i="93"/>
  <c r="P100" i="93"/>
  <c r="P4" i="93"/>
  <c r="O129" i="93"/>
  <c r="M121" i="93"/>
  <c r="J113" i="93"/>
  <c r="M97" i="93"/>
  <c r="P59" i="93"/>
  <c r="K39" i="93"/>
  <c r="L14" i="93"/>
  <c r="N4" i="93"/>
  <c r="M129" i="93"/>
  <c r="M120" i="93"/>
  <c r="O79" i="93"/>
  <c r="P57" i="93"/>
  <c r="L32" i="93"/>
  <c r="P8" i="93"/>
  <c r="M4" i="93"/>
  <c r="N128" i="93"/>
  <c r="L120" i="93"/>
  <c r="P106" i="93"/>
  <c r="N79" i="93"/>
  <c r="N57" i="93"/>
  <c r="N30" i="93"/>
  <c r="O4" i="93"/>
  <c r="K108" i="93"/>
  <c r="P123" i="93"/>
  <c r="N114" i="93"/>
  <c r="O105" i="93"/>
  <c r="N71" i="93"/>
  <c r="L30" i="93"/>
  <c r="O7" i="93"/>
  <c r="K123" i="93"/>
  <c r="P113" i="93"/>
  <c r="N105" i="93"/>
  <c r="N83" i="93"/>
  <c r="P18" i="93"/>
  <c r="M99" i="93"/>
  <c r="P75" i="93"/>
  <c r="J122" i="93"/>
  <c r="O115" i="93"/>
  <c r="K98" i="93"/>
  <c r="K83" i="93"/>
  <c r="L57" i="93"/>
  <c r="P16" i="93"/>
  <c r="M128" i="93"/>
  <c r="P121" i="93"/>
  <c r="M115" i="93"/>
  <c r="O112" i="93"/>
  <c r="M105" i="93"/>
  <c r="P97" i="93"/>
  <c r="P81" i="93"/>
  <c r="P73" i="93"/>
  <c r="O64" i="93"/>
  <c r="N55" i="93"/>
  <c r="P34" i="93"/>
  <c r="P24" i="93"/>
  <c r="N16" i="93"/>
  <c r="M7" i="93"/>
  <c r="M94" i="93"/>
  <c r="L128" i="93"/>
  <c r="O121" i="93"/>
  <c r="L115" i="93"/>
  <c r="N108" i="93"/>
  <c r="K105" i="93"/>
  <c r="O97" i="93"/>
  <c r="P80" i="93"/>
  <c r="N73" i="93"/>
  <c r="M64" i="93"/>
  <c r="L55" i="93"/>
  <c r="L16" i="93"/>
  <c r="K7" i="93"/>
  <c r="J124" i="93"/>
  <c r="N121" i="93"/>
  <c r="O114" i="93"/>
  <c r="J105" i="93"/>
  <c r="N97" i="93"/>
  <c r="K80" i="93"/>
  <c r="L73" i="93"/>
  <c r="K64" i="93"/>
  <c r="P32" i="93"/>
  <c r="O23" i="93"/>
  <c r="M118" i="93"/>
  <c r="M125" i="93"/>
  <c r="K117" i="93"/>
  <c r="L99" i="93"/>
  <c r="J67" i="93"/>
  <c r="J51" i="93"/>
  <c r="J26" i="93"/>
  <c r="J10" i="93"/>
  <c r="L4" i="93"/>
  <c r="J129" i="93"/>
  <c r="L125" i="93"/>
  <c r="O122" i="93"/>
  <c r="J121" i="93"/>
  <c r="J117" i="93"/>
  <c r="L114" i="93"/>
  <c r="N112" i="93"/>
  <c r="O106" i="93"/>
  <c r="O104" i="93"/>
  <c r="K97" i="93"/>
  <c r="N81" i="93"/>
  <c r="L79" i="93"/>
  <c r="O66" i="93"/>
  <c r="O50" i="93"/>
  <c r="O25" i="93"/>
  <c r="O9" i="93"/>
  <c r="N126" i="93"/>
  <c r="L53" i="93"/>
  <c r="L28" i="93"/>
  <c r="P128" i="93"/>
  <c r="L124" i="93"/>
  <c r="N122" i="93"/>
  <c r="P120" i="93"/>
  <c r="P116" i="93"/>
  <c r="K114" i="93"/>
  <c r="M112" i="93"/>
  <c r="N106" i="93"/>
  <c r="J104" i="93"/>
  <c r="P98" i="93"/>
  <c r="L96" i="93"/>
  <c r="L81" i="93"/>
  <c r="O72" i="93"/>
  <c r="M66" i="93"/>
  <c r="N63" i="93"/>
  <c r="O56" i="93"/>
  <c r="M50" i="93"/>
  <c r="N38" i="93"/>
  <c r="O31" i="93"/>
  <c r="M25" i="93"/>
  <c r="N22" i="93"/>
  <c r="O15" i="93"/>
  <c r="M9" i="93"/>
  <c r="N6" i="93"/>
  <c r="O128" i="93"/>
  <c r="K124" i="93"/>
  <c r="K122" i="93"/>
  <c r="O120" i="93"/>
  <c r="P115" i="93"/>
  <c r="J114" i="93"/>
  <c r="K110" i="93"/>
  <c r="M102" i="93"/>
  <c r="J96" i="93"/>
  <c r="J72" i="93"/>
  <c r="J56" i="93"/>
  <c r="J31" i="93"/>
  <c r="K19" i="93"/>
  <c r="J15" i="93"/>
  <c r="K69" i="93"/>
  <c r="M69" i="93"/>
  <c r="N69" i="93"/>
  <c r="K36" i="93"/>
  <c r="M36" i="93"/>
  <c r="N36" i="93"/>
  <c r="L118" i="93"/>
  <c r="L102" i="93"/>
  <c r="P101" i="93"/>
  <c r="M101" i="93"/>
  <c r="P60" i="93"/>
  <c r="J60" i="93"/>
  <c r="L60" i="93"/>
  <c r="M60" i="93"/>
  <c r="P35" i="93"/>
  <c r="J35" i="93"/>
  <c r="L35" i="93"/>
  <c r="M35" i="93"/>
  <c r="M127" i="93"/>
  <c r="K125" i="93"/>
  <c r="M119" i="93"/>
  <c r="N103" i="93"/>
  <c r="P95" i="93"/>
  <c r="O77" i="93"/>
  <c r="P61" i="93"/>
  <c r="O52" i="93"/>
  <c r="O27" i="93"/>
  <c r="P20" i="93"/>
  <c r="O11" i="93"/>
  <c r="O100" i="93"/>
  <c r="L100" i="93"/>
  <c r="O75" i="93"/>
  <c r="K75" i="93"/>
  <c r="L75" i="93"/>
  <c r="O59" i="93"/>
  <c r="K59" i="93"/>
  <c r="L59" i="93"/>
  <c r="O34" i="93"/>
  <c r="K34" i="93"/>
  <c r="L34" i="93"/>
  <c r="O18" i="93"/>
  <c r="K18" i="93"/>
  <c r="L18" i="93"/>
  <c r="L127" i="93"/>
  <c r="J125" i="93"/>
  <c r="J118" i="93"/>
  <c r="N109" i="93"/>
  <c r="M103" i="93"/>
  <c r="M100" i="93"/>
  <c r="O84" i="93"/>
  <c r="M77" i="93"/>
  <c r="N68" i="93"/>
  <c r="M59" i="93"/>
  <c r="P54" i="93"/>
  <c r="P29" i="93"/>
  <c r="O20" i="93"/>
  <c r="N11" i="93"/>
  <c r="N107" i="93"/>
  <c r="K107" i="93"/>
  <c r="N99" i="93"/>
  <c r="K99" i="93"/>
  <c r="N82" i="93"/>
  <c r="P82" i="93"/>
  <c r="K82" i="93"/>
  <c r="N74" i="93"/>
  <c r="P74" i="93"/>
  <c r="J74" i="93"/>
  <c r="K74" i="93"/>
  <c r="N66" i="93"/>
  <c r="P66" i="93"/>
  <c r="J66" i="93"/>
  <c r="K66" i="93"/>
  <c r="N58" i="93"/>
  <c r="P58" i="93"/>
  <c r="J58" i="93"/>
  <c r="K58" i="93"/>
  <c r="N50" i="93"/>
  <c r="P50" i="93"/>
  <c r="J50" i="93"/>
  <c r="K50" i="93"/>
  <c r="N33" i="93"/>
  <c r="P33" i="93"/>
  <c r="J33" i="93"/>
  <c r="K33" i="93"/>
  <c r="N25" i="93"/>
  <c r="P25" i="93"/>
  <c r="J25" i="93"/>
  <c r="K25" i="93"/>
  <c r="N17" i="93"/>
  <c r="P17" i="93"/>
  <c r="J17" i="93"/>
  <c r="K17" i="93"/>
  <c r="N9" i="93"/>
  <c r="P9" i="93"/>
  <c r="J9" i="93"/>
  <c r="K9" i="93"/>
  <c r="K127" i="93"/>
  <c r="J126" i="93"/>
  <c r="P124" i="93"/>
  <c r="O123" i="93"/>
  <c r="K119" i="93"/>
  <c r="O117" i="93"/>
  <c r="M116" i="93"/>
  <c r="K115" i="93"/>
  <c r="P110" i="93"/>
  <c r="L109" i="93"/>
  <c r="P107" i="93"/>
  <c r="O101" i="93"/>
  <c r="K100" i="93"/>
  <c r="M95" i="93"/>
  <c r="N84" i="93"/>
  <c r="O82" i="93"/>
  <c r="L77" i="93"/>
  <c r="J75" i="93"/>
  <c r="J59" i="93"/>
  <c r="L36" i="93"/>
  <c r="J34" i="93"/>
  <c r="L20" i="93"/>
  <c r="J18" i="93"/>
  <c r="M13" i="93"/>
  <c r="O103" i="93"/>
  <c r="J70" i="93"/>
  <c r="L70" i="93"/>
  <c r="N70" i="93"/>
  <c r="O70" i="93"/>
  <c r="J54" i="93"/>
  <c r="L54" i="93"/>
  <c r="N54" i="93"/>
  <c r="O54" i="93"/>
  <c r="J29" i="93"/>
  <c r="L29" i="93"/>
  <c r="N29" i="93"/>
  <c r="O29" i="93"/>
  <c r="J5" i="93"/>
  <c r="K5" i="93"/>
  <c r="L5" i="93"/>
  <c r="M5" i="93"/>
  <c r="N5" i="93"/>
  <c r="O5" i="93"/>
  <c r="O127" i="93"/>
  <c r="M62" i="93"/>
  <c r="K61" i="93"/>
  <c r="M61" i="93"/>
  <c r="N61" i="93"/>
  <c r="K12" i="93"/>
  <c r="M12" i="93"/>
  <c r="N12" i="93"/>
  <c r="M126" i="93"/>
  <c r="J110" i="93"/>
  <c r="P77" i="93"/>
  <c r="J69" i="93"/>
  <c r="J12" i="93"/>
  <c r="P76" i="93"/>
  <c r="J76" i="93"/>
  <c r="L76" i="93"/>
  <c r="M76" i="93"/>
  <c r="P27" i="93"/>
  <c r="J27" i="93"/>
  <c r="L27" i="93"/>
  <c r="M27" i="93"/>
  <c r="M106" i="93"/>
  <c r="J106" i="93"/>
  <c r="M98" i="93"/>
  <c r="J98" i="93"/>
  <c r="M81" i="93"/>
  <c r="O81" i="93"/>
  <c r="J81" i="93"/>
  <c r="M73" i="93"/>
  <c r="O73" i="93"/>
  <c r="J73" i="93"/>
  <c r="M65" i="93"/>
  <c r="O65" i="93"/>
  <c r="J65" i="93"/>
  <c r="M57" i="93"/>
  <c r="O57" i="93"/>
  <c r="J57" i="93"/>
  <c r="M49" i="93"/>
  <c r="O49" i="93"/>
  <c r="J49" i="93"/>
  <c r="M32" i="93"/>
  <c r="O32" i="93"/>
  <c r="J32" i="93"/>
  <c r="M24" i="93"/>
  <c r="O24" i="93"/>
  <c r="J24" i="93"/>
  <c r="M16" i="93"/>
  <c r="O16" i="93"/>
  <c r="J16" i="93"/>
  <c r="M8" i="93"/>
  <c r="O8" i="93"/>
  <c r="J8" i="93"/>
  <c r="L129" i="93"/>
  <c r="K128" i="93"/>
  <c r="J127" i="93"/>
  <c r="P125" i="93"/>
  <c r="O124" i="93"/>
  <c r="N123" i="93"/>
  <c r="M122" i="93"/>
  <c r="L121" i="93"/>
  <c r="K120" i="93"/>
  <c r="P118" i="93"/>
  <c r="N117" i="93"/>
  <c r="L116" i="93"/>
  <c r="J115" i="93"/>
  <c r="O113" i="93"/>
  <c r="L112" i="93"/>
  <c r="O110" i="93"/>
  <c r="O107" i="93"/>
  <c r="K106" i="93"/>
  <c r="N104" i="93"/>
  <c r="K103" i="93"/>
  <c r="N101" i="93"/>
  <c r="J100" i="93"/>
  <c r="N98" i="93"/>
  <c r="J97" i="93"/>
  <c r="L84" i="93"/>
  <c r="M82" i="93"/>
  <c r="O74" i="93"/>
  <c r="K70" i="93"/>
  <c r="P67" i="93"/>
  <c r="N65" i="93"/>
  <c r="L63" i="93"/>
  <c r="J61" i="93"/>
  <c r="O58" i="93"/>
  <c r="K54" i="93"/>
  <c r="P51" i="93"/>
  <c r="N49" i="93"/>
  <c r="L38" i="93"/>
  <c r="J36" i="93"/>
  <c r="O33" i="93"/>
  <c r="K29" i="93"/>
  <c r="N24" i="93"/>
  <c r="L22" i="93"/>
  <c r="O17" i="93"/>
  <c r="P10" i="93"/>
  <c r="N8" i="93"/>
  <c r="J111" i="93"/>
  <c r="O111" i="93"/>
  <c r="J78" i="93"/>
  <c r="L78" i="93"/>
  <c r="O78" i="93"/>
  <c r="J62" i="93"/>
  <c r="L62" i="93"/>
  <c r="N62" i="93"/>
  <c r="O62" i="93"/>
  <c r="J37" i="93"/>
  <c r="L37" i="93"/>
  <c r="N37" i="93"/>
  <c r="O37" i="93"/>
  <c r="J21" i="93"/>
  <c r="L21" i="93"/>
  <c r="N21" i="93"/>
  <c r="O21" i="93"/>
  <c r="O119" i="93"/>
  <c r="N111" i="93"/>
  <c r="K78" i="93"/>
  <c r="M21" i="93"/>
  <c r="K94" i="93"/>
  <c r="N94" i="93"/>
  <c r="K53" i="93"/>
  <c r="M53" i="93"/>
  <c r="N53" i="93"/>
  <c r="K20" i="93"/>
  <c r="M20" i="93"/>
  <c r="N20" i="93"/>
  <c r="N127" i="93"/>
  <c r="K37" i="93"/>
  <c r="J28" i="93"/>
  <c r="P109" i="93"/>
  <c r="M109" i="93"/>
  <c r="P68" i="93"/>
  <c r="J68" i="93"/>
  <c r="L68" i="93"/>
  <c r="M68" i="93"/>
  <c r="P11" i="93"/>
  <c r="J11" i="93"/>
  <c r="L11" i="93"/>
  <c r="M11" i="93"/>
  <c r="O109" i="93"/>
  <c r="O26" i="93"/>
  <c r="K26" i="93"/>
  <c r="L26" i="93"/>
  <c r="O36" i="93"/>
  <c r="L80" i="93"/>
  <c r="N80" i="93"/>
  <c r="L72" i="93"/>
  <c r="N72" i="93"/>
  <c r="P72" i="93"/>
  <c r="L64" i="93"/>
  <c r="N64" i="93"/>
  <c r="P64" i="93"/>
  <c r="L56" i="93"/>
  <c r="N56" i="93"/>
  <c r="P56" i="93"/>
  <c r="L39" i="93"/>
  <c r="N39" i="93"/>
  <c r="P39" i="93"/>
  <c r="L31" i="93"/>
  <c r="N31" i="93"/>
  <c r="P31" i="93"/>
  <c r="L23" i="93"/>
  <c r="N23" i="93"/>
  <c r="P23" i="93"/>
  <c r="L15" i="93"/>
  <c r="N15" i="93"/>
  <c r="P15" i="93"/>
  <c r="L7" i="93"/>
  <c r="N7" i="93"/>
  <c r="P7" i="93"/>
  <c r="P126" i="93"/>
  <c r="O125" i="93"/>
  <c r="N124" i="93"/>
  <c r="M123" i="93"/>
  <c r="O118" i="93"/>
  <c r="M117" i="93"/>
  <c r="K116" i="93"/>
  <c r="P114" i="93"/>
  <c r="N113" i="93"/>
  <c r="M110" i="93"/>
  <c r="J109" i="93"/>
  <c r="M107" i="93"/>
  <c r="P105" i="93"/>
  <c r="P102" i="93"/>
  <c r="L101" i="93"/>
  <c r="P99" i="93"/>
  <c r="L98" i="93"/>
  <c r="P94" i="93"/>
  <c r="L82" i="93"/>
  <c r="M80" i="93"/>
  <c r="N78" i="93"/>
  <c r="O76" i="93"/>
  <c r="M74" i="93"/>
  <c r="K72" i="93"/>
  <c r="P69" i="93"/>
  <c r="L65" i="93"/>
  <c r="O60" i="93"/>
  <c r="M58" i="93"/>
  <c r="K56" i="93"/>
  <c r="P53" i="93"/>
  <c r="L49" i="93"/>
  <c r="O35" i="93"/>
  <c r="M33" i="93"/>
  <c r="K31" i="93"/>
  <c r="N26" i="93"/>
  <c r="L24" i="93"/>
  <c r="M17" i="93"/>
  <c r="K15" i="93"/>
  <c r="P12" i="93"/>
  <c r="L8" i="93"/>
  <c r="P5" i="93"/>
  <c r="J95" i="93"/>
  <c r="L95" i="93"/>
  <c r="O95" i="93"/>
  <c r="J13" i="93"/>
  <c r="L13" i="93"/>
  <c r="N13" i="93"/>
  <c r="O13" i="93"/>
  <c r="K77" i="93"/>
  <c r="N77" i="93"/>
  <c r="K28" i="93"/>
  <c r="M28" i="93"/>
  <c r="N28" i="93"/>
  <c r="N119" i="93"/>
  <c r="P103" i="93"/>
  <c r="P84" i="93"/>
  <c r="J84" i="93"/>
  <c r="M84" i="93"/>
  <c r="P52" i="93"/>
  <c r="J52" i="93"/>
  <c r="L52" i="93"/>
  <c r="M52" i="93"/>
  <c r="P19" i="93"/>
  <c r="J19" i="93"/>
  <c r="L19" i="93"/>
  <c r="M19" i="93"/>
  <c r="L126" i="93"/>
  <c r="K118" i="93"/>
  <c r="L111" i="93"/>
  <c r="K102" i="93"/>
  <c r="J94" i="93"/>
  <c r="O68" i="93"/>
  <c r="P36" i="93"/>
  <c r="O108" i="93"/>
  <c r="L108" i="93"/>
  <c r="O83" i="93"/>
  <c r="L83" i="93"/>
  <c r="O67" i="93"/>
  <c r="K67" i="93"/>
  <c r="L67" i="93"/>
  <c r="O51" i="93"/>
  <c r="K51" i="93"/>
  <c r="L51" i="93"/>
  <c r="O10" i="93"/>
  <c r="K10" i="93"/>
  <c r="L10" i="93"/>
  <c r="K126" i="93"/>
  <c r="L119" i="93"/>
  <c r="N116" i="93"/>
  <c r="K111" i="93"/>
  <c r="J108" i="93"/>
  <c r="J102" i="93"/>
  <c r="N95" i="93"/>
  <c r="J83" i="93"/>
  <c r="M75" i="93"/>
  <c r="P70" i="93"/>
  <c r="O61" i="93"/>
  <c r="N52" i="93"/>
  <c r="M34" i="93"/>
  <c r="N27" i="93"/>
  <c r="M18" i="93"/>
  <c r="P13" i="93"/>
  <c r="K112" i="93"/>
  <c r="P112" i="93"/>
  <c r="K104" i="93"/>
  <c r="P104" i="93"/>
  <c r="K96" i="93"/>
  <c r="M96" i="93"/>
  <c r="P96" i="93"/>
  <c r="K79" i="93"/>
  <c r="M79" i="93"/>
  <c r="P79" i="93"/>
  <c r="K71" i="93"/>
  <c r="M71" i="93"/>
  <c r="O71" i="93"/>
  <c r="P71" i="93"/>
  <c r="K63" i="93"/>
  <c r="M63" i="93"/>
  <c r="O63" i="93"/>
  <c r="P63" i="93"/>
  <c r="K55" i="93"/>
  <c r="M55" i="93"/>
  <c r="O55" i="93"/>
  <c r="P55" i="93"/>
  <c r="K38" i="93"/>
  <c r="M38" i="93"/>
  <c r="O38" i="93"/>
  <c r="P38" i="93"/>
  <c r="K30" i="93"/>
  <c r="M30" i="93"/>
  <c r="O30" i="93"/>
  <c r="P30" i="93"/>
  <c r="K22" i="93"/>
  <c r="M22" i="93"/>
  <c r="O22" i="93"/>
  <c r="P22" i="93"/>
  <c r="K14" i="93"/>
  <c r="M14" i="93"/>
  <c r="O14" i="93"/>
  <c r="P14" i="93"/>
  <c r="J6" i="93"/>
  <c r="K6" i="93"/>
  <c r="M6" i="93"/>
  <c r="O6" i="93"/>
  <c r="P6" i="93"/>
  <c r="P119" i="93"/>
  <c r="L117" i="93"/>
  <c r="J116" i="93"/>
  <c r="P111" i="93"/>
  <c r="L110" i="93"/>
  <c r="P108" i="93"/>
  <c r="L107" i="93"/>
  <c r="L104" i="93"/>
  <c r="O102" i="93"/>
  <c r="K101" i="93"/>
  <c r="O99" i="93"/>
  <c r="N96" i="93"/>
  <c r="O94" i="93"/>
  <c r="P83" i="93"/>
  <c r="J82" i="93"/>
  <c r="M78" i="93"/>
  <c r="N76" i="93"/>
  <c r="L74" i="93"/>
  <c r="O69" i="93"/>
  <c r="M67" i="93"/>
  <c r="P62" i="93"/>
  <c r="N60" i="93"/>
  <c r="L58" i="93"/>
  <c r="O53" i="93"/>
  <c r="M51" i="93"/>
  <c r="P37" i="93"/>
  <c r="N35" i="93"/>
  <c r="L33" i="93"/>
  <c r="O28" i="93"/>
  <c r="M26" i="93"/>
  <c r="P21" i="93"/>
  <c r="N19" i="93"/>
  <c r="L17" i="93"/>
  <c r="O12" i="93"/>
  <c r="M10" i="93"/>
  <c r="B40" i="111" l="1"/>
  <c r="B41" i="111" s="1"/>
  <c r="B37" i="111"/>
  <c r="B42" i="111" s="1"/>
  <c r="B38" i="111"/>
  <c r="H11" i="110"/>
  <c r="H15" i="1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tc={D17DA777-DB24-48C2-8CC0-5561C1D3714F}</author>
  </authors>
  <commentList>
    <comment ref="A1" authorId="0" shapeId="0" xr:uid="{D17DA777-DB24-48C2-8CC0-5561C1D3714F}">
      <text>
        <t>[Threaded comment]
Your version of Excel allows you to read this threaded comment; however, any edits to it will get removed if the file is opened in a newer version of Excel. Learn more: https://go.microsoft.com/fwlink/?linkid=870924
Comment:
    Benefit - Employed
Cost - Unemployed/not in labor force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tc={67790CEA-23DC-4208-B853-31F3E1E47B8A}</author>
  </authors>
  <commentList>
    <comment ref="A1" authorId="0" shapeId="0" xr:uid="{67790CEA-23DC-4208-B853-31F3E1E47B8A}">
      <text>
        <t xml:space="preserve">[Threaded comment]
Your version of Excel allows you to read this threaded comment; however, any edits to it will get removed if the file is opened in a newer version of Excel. Learn more: https://go.microsoft.com/fwlink/?linkid=870924
Comment:
    Fin data
Note any trends with demos
This is a cost
Use to make payback period? Break-even analysis?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tc={3CC66CF4-C728-4A17-8FC3-3D02B9F58D97}</author>
    <author>tc={7187784D-59FB-40F0-808A-984D2021F87E}</author>
  </authors>
  <commentList>
    <comment ref="A1" authorId="0" shapeId="0" xr:uid="{3CC66CF4-C728-4A17-8FC3-3D02B9F58D97}">
      <text>
        <t>[Threaded comment]
Your version of Excel allows you to read this threaded comment; however, any edits to it will get removed if the file is opened in a newer version of Excel. Learn more: https://go.microsoft.com/fwlink/?linkid=870924
Comment:
    Note trends in demos
b/c w/ rela to degree/occu and sector?</t>
      </text>
    </comment>
    <comment ref="K3" authorId="1" shapeId="0" xr:uid="{7187784D-59FB-40F0-808A-984D2021F87E}">
      <text>
        <t>[Threaded comment]
Your version of Excel allows you to read this threaded comment; however, any edits to it will get removed if the file is opened in a newer version of Excel. Learn more: https://go.microsoft.com/fwlink/?linkid=870924
Comment:
    Based on the overall total amt of surveyed ppl
Yellow/green = pos
Orange/red = neg</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tc={177E3741-564E-4BEA-B864-C471E0EE42E8}</author>
  </authors>
  <commentList>
    <comment ref="A1" authorId="0" shapeId="0" xr:uid="{177E3741-564E-4BEA-B864-C471E0EE42E8}">
      <text>
        <t>[Threaded comment]
Your version of Excel allows you to read this threaded comment; however, any edits to it will get removed if the file is opened in a newer version of Excel. Learn more: https://go.microsoft.com/fwlink/?linkid=870924
Comment:
    Note trends in indi yrs as well as trends across yrs...is a higher degree req compared to previous yrs? 
Benefit - increased prob obtaining degree by yr?
Cost - op cost not obtain higher degree?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tc={AD621DA1-D653-464B-AFE3-3A6D10829432}</author>
  </authors>
  <commentList>
    <comment ref="A1" authorId="0" shapeId="0" xr:uid="{AD621DA1-D653-464B-AFE3-3A6D10829432}">
      <text>
        <t>[Threaded comment]
Your version of Excel allows you to read this threaded comment; however, any edits to it will get removed if the file is opened in a newer version of Excel. Learn more: https://go.microsoft.com/fwlink/?linkid=870924
Comment:
    Trends per yr and across yrs, trends in demos and degrees and degree attainment.
Benefit - increased prob obtaining degree by yr?
Cost - op cost not obtain higher degree?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tc={C815480A-5B1A-4BC8-A33D-26763C68403F}</author>
    <author>tc={8FC3AB51-1592-4E07-9797-207569470E14}</author>
  </authors>
  <commentList>
    <comment ref="A1" authorId="0" shapeId="0" xr:uid="{C815480A-5B1A-4BC8-A33D-26763C68403F}">
      <text>
        <t xml:space="preserve">[Threaded comment]
Your version of Excel allows you to read this threaded comment; however, any edits to it will get removed if the file is opened in a newer version of Excel. Learn more: https://go.microsoft.com/fwlink/?linkid=870924
Comment:
    Trends per yr and across yrs.
Benefit - increased prob obtaining degree by yr?
Cost - op cost not obtain higher degree?
</t>
      </text>
    </comment>
    <comment ref="R3" authorId="1" shapeId="0" xr:uid="{8FC3AB51-1592-4E07-9797-207569470E14}">
      <text>
        <t xml:space="preserve">[Threaded comment]
Your version of Excel allows you to read this threaded comment; however, any edits to it will get removed if the file is opened in a newer version of Excel. Learn more: https://go.microsoft.com/fwlink/?linkid=870924
Comment:
    Change colors to be various shades of same color for b/m/d? Change to yr on x-axis and degree in legend?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tc={C0BA9DB0-9835-44FE-A9AE-D55B8055E173}</author>
  </authors>
  <commentList>
    <comment ref="U5" authorId="0" shapeId="0" xr:uid="{C0BA9DB0-9835-44FE-A9AE-D55B8055E173}">
      <text>
        <t>[Threaded comment]
Your version of Excel allows you to read this threaded comment; however, any edits to it will get removed if the file is opened in a newer version of Excel. Learn more: https://go.microsoft.com/fwlink/?linkid=870924
Comment:
    Most variable since not all have data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tc={EF048A0D-B1B2-4F2B-85BA-1F54C1CBB2C1}</author>
  </authors>
  <commentList>
    <comment ref="U5" authorId="0" shapeId="0" xr:uid="{EF048A0D-B1B2-4F2B-85BA-1F54C1CBB2C1}">
      <text>
        <t>[Threaded comment]
Your version of Excel allows you to read this threaded comment; however, any edits to it will get removed if the file is opened in a newer version of Excel. Learn more: https://go.microsoft.com/fwlink/?linkid=870924
Comment:
    Most variable since not all have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tc={E8E62A47-A610-48A2-9016-A10702787FED}</author>
  </authors>
  <commentList>
    <comment ref="A1" authorId="0" shapeId="0" xr:uid="{E8E62A47-A610-48A2-9016-A10702787FED}">
      <text>
        <t xml:space="preserve">[Threaded comment]
Your version of Excel allows you to read this threaded comment; however, any edits to it will get removed if the file is opened in a newer version of Excel. Learn more: https://go.microsoft.com/fwlink/?linkid=870924
Comment:
    Add note at end of report relating to if want a career in blank then should get blank degree, based on pop data and trends. Make graph to demonstrate. Include degrees?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tc={C02FC704-E456-4B97-AFAA-A598D143D5C6}</author>
  </authors>
  <commentList>
    <comment ref="A1" authorId="0" shapeId="0" xr:uid="{C02FC704-E456-4B97-AFAA-A598D143D5C6}">
      <text>
        <t xml:space="preserve">[Threaded comment]
Your version of Excel allows you to read this threaded comment; however, any edits to it will get removed if the file is opened in a newer version of Excel. Learn more: https://go.microsoft.com/fwlink/?linkid=870924
Comment:
    Benefit - Closely related
Cost - Not related
Somewhat related...null?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tc={EE045A36-965C-42D3-96F0-221D53D03531}</author>
  </authors>
  <commentList>
    <comment ref="A1" authorId="0" shapeId="0" xr:uid="{EE045A36-965C-42D3-96F0-221D53D03531}">
      <text>
        <t>[Threaded comment]
Your version of Excel allows you to read this threaded comment; however, any edits to it will get removed if the file is opened in a newer version of Excel. Learn more: https://go.microsoft.com/fwlink/?linkid=870924
Comment:
    Add note at end of report related to if want career in blank sector should get blank degree, based on pop data and trends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tc={622F75F7-4C86-44AE-A6B7-501ECFACB6EF}</author>
    <author>tc={11FF1901-09D6-42FF-A335-13350147E865}</author>
    <author>tc={CDA1860A-218C-4C71-97D0-1B2524B16F7C}</author>
    <author>tc={332DBA3E-C7FA-4D75-AB1F-1DBC9DF5CF51}</author>
    <author>tc={C784E1F5-74D2-4294-8BF0-4F6CFC646437}</author>
    <author>tc={85781A02-2174-4652-A797-FC99665B923B}</author>
    <author>tc={3DD7250C-878E-488F-8497-56939BF22F8E}</author>
    <author>tc={06173314-107D-44D0-8E86-BFC850E47F7B}</author>
    <author>tc={D3ADD3A9-4788-4779-B5C0-FCBF0EA157E8}</author>
    <author>tc={84D61B15-5A53-4256-9C77-D6925A85C9F9}</author>
    <author>tc={E0B15B56-D5C3-45D8-BDEC-1F462AC59096}</author>
    <author>tc={6159B3E9-D9C7-4526-95D5-0965FCE16A68}</author>
  </authors>
  <commentList>
    <comment ref="A1" authorId="0" shapeId="0" xr:uid="{622F75F7-4C86-44AE-A6B7-501ECFACB6EF}">
      <text>
        <t>[Threaded comment]
Your version of Excel allows you to read this threaded comment; however, any edits to it will get removed if the file is opened in a newer version of Excel. Learn more: https://go.microsoft.com/fwlink/?linkid=870924
Comment:
    Benefit - pos rela with demos?
Cost - neg rela with demos?
Make comment abt demo trends in degree levels etc.</t>
      </text>
    </comment>
    <comment ref="O73" authorId="1" shapeId="0" xr:uid="{11FF1901-09D6-42FF-A335-13350147E865}">
      <text>
        <t>[Threaded comment]
Your version of Excel allows you to read this threaded comment; however, any edits to it will get removed if the file is opened in a newer version of Excel. Learn more: https://go.microsoft.com/fwlink/?linkid=870924
Comment:
    Start neg</t>
      </text>
    </comment>
    <comment ref="R73" authorId="2" shapeId="0" xr:uid="{CDA1860A-218C-4C71-97D0-1B2524B16F7C}">
      <text>
        <t>[Threaded comment]
Your version of Excel allows you to read this threaded comment; however, any edits to it will get removed if the file is opened in a newer version of Excel. Learn more: https://go.microsoft.com/fwlink/?linkid=870924
Comment:
    Start neg</t>
      </text>
    </comment>
    <comment ref="W73" authorId="3" shapeId="0" xr:uid="{332DBA3E-C7FA-4D75-AB1F-1DBC9DF5CF51}">
      <text>
        <t>[Threaded comment]
Your version of Excel allows you to read this threaded comment; however, any edits to it will get removed if the file is opened in a newer version of Excel. Learn more: https://go.microsoft.com/fwlink/?linkid=870924
Comment:
    Start neg</t>
      </text>
    </comment>
    <comment ref="X73" authorId="4" shapeId="0" xr:uid="{C784E1F5-74D2-4294-8BF0-4F6CFC646437}">
      <text>
        <t>[Threaded comment]
Your version of Excel allows you to read this threaded comment; however, any edits to it will get removed if the file is opened in a newer version of Excel. Learn more: https://go.microsoft.com/fwlink/?linkid=870924
Comment:
    Start neg</t>
      </text>
    </comment>
    <comment ref="P74" authorId="5" shapeId="0" xr:uid="{85781A02-2174-4652-A797-FC99665B923B}">
      <text>
        <t>[Threaded comment]
Your version of Excel allows you to read this threaded comment; however, any edits to it will get removed if the file is opened in a newer version of Excel. Learn more: https://go.microsoft.com/fwlink/?linkid=870924
Comment:
    Start neg</t>
      </text>
    </comment>
    <comment ref="S74" authorId="6" shapeId="0" xr:uid="{3DD7250C-878E-488F-8497-56939BF22F8E}">
      <text>
        <t>[Threaded comment]
Your version of Excel allows you to read this threaded comment; however, any edits to it will get removed if the file is opened in a newer version of Excel. Learn more: https://go.microsoft.com/fwlink/?linkid=870924
Comment:
    Start neg</t>
      </text>
    </comment>
    <comment ref="N75" authorId="7" shapeId="0" xr:uid="{06173314-107D-44D0-8E86-BFC850E47F7B}">
      <text>
        <t xml:space="preserve">[Threaded comment]
Your version of Excel allows you to read this threaded comment; however, any edits to it will get removed if the file is opened in a newer version of Excel. Learn more: https://go.microsoft.com/fwlink/?linkid=870924
Comment:
    Start neg
</t>
      </text>
    </comment>
    <comment ref="U76" authorId="8" shapeId="0" xr:uid="{D3ADD3A9-4788-4779-B5C0-FCBF0EA157E8}">
      <text>
        <t>[Threaded comment]
Your version of Excel allows you to read this threaded comment; however, any edits to it will get removed if the file is opened in a newer version of Excel. Learn more: https://go.microsoft.com/fwlink/?linkid=870924
Comment:
    Start neg</t>
      </text>
    </comment>
    <comment ref="V77" authorId="9" shapeId="0" xr:uid="{84D61B15-5A53-4256-9C77-D6925A85C9F9}">
      <text>
        <t>[Threaded comment]
Your version of Excel allows you to read this threaded comment; however, any edits to it will get removed if the file is opened in a newer version of Excel. Learn more: https://go.microsoft.com/fwlink/?linkid=870924
Comment:
    Start neg</t>
      </text>
    </comment>
    <comment ref="Q80" authorId="10" shapeId="0" xr:uid="{E0B15B56-D5C3-45D8-BDEC-1F462AC59096}">
      <text>
        <t>[Threaded comment]
Your version of Excel allows you to read this threaded comment; however, any edits to it will get removed if the file is opened in a newer version of Excel. Learn more: https://go.microsoft.com/fwlink/?linkid=870924
Comment:
    Start neg</t>
      </text>
    </comment>
    <comment ref="T85" authorId="11" shapeId="0" xr:uid="{6159B3E9-D9C7-4526-95D5-0965FCE16A68}">
      <text>
        <t>[Threaded comment]
Your version of Excel allows you to read this threaded comment; however, any edits to it will get removed if the file is opened in a newer version of Excel. Learn more: https://go.microsoft.com/fwlink/?linkid=870924
Comment:
    Start neg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tc={5BC8FE5E-F499-450A-9CBB-350B45E0841F}</author>
    <author>tc={B043E75E-9A4A-4629-A6FE-2F40245C752C}</author>
    <author>tc={93B6FC70-4B37-4AAF-8890-5012C315EC47}</author>
    <author>tc={ADE066DB-8515-4585-9D4B-36D0B8B7DEE9}</author>
    <author>tc={F48D610F-E45B-4DA3-AE4E-DCF6B4D939AF}</author>
    <author>tc={F53A5954-B73B-4766-9CF9-AEB286CB7304}</author>
    <author>tc={BD16B388-D8EE-4B9D-90EE-A7562934C884}</author>
    <author>tc={3A2D927F-3EFC-4FC9-B025-8A95EAD4F91B}</author>
    <author>tc={41B9B9E4-7A19-4E98-BED2-BBD26CF801EA}</author>
    <author>tc={6ED74F51-22EB-4DF8-8BCC-DEBED4D2BAF4}</author>
    <author>tc={C0257F60-28FA-4ACC-99E8-46710C3E89E2}</author>
    <author>tc={994C9C97-5E8F-4EF2-BA75-1E5163CFB247}</author>
  </authors>
  <commentList>
    <comment ref="A1" authorId="0" shapeId="0" xr:uid="{5BC8FE5E-F499-450A-9CBB-350B45E0841F}">
      <text>
        <t>[Threaded comment]
Your version of Excel allows you to read this threaded comment; however, any edits to it will get removed if the file is opened in a newer version of Excel. Learn more: https://go.microsoft.com/fwlink/?linkid=870924
Comment:
    Benefit - pos rela with demos?
Cost - neg rela with demos?
Note trends with demos and related degree level</t>
      </text>
    </comment>
    <comment ref="AG28" authorId="1" shapeId="0" xr:uid="{B043E75E-9A4A-4629-A6FE-2F40245C752C}">
      <text>
        <t>[Threaded comment]
Your version of Excel allows you to read this threaded comment; however, any edits to it will get removed if the file is opened in a newer version of Excel. Learn more: https://go.microsoft.com/fwlink/?linkid=870924
Comment:
    Start neg</t>
      </text>
    </comment>
    <comment ref="AL28" authorId="2" shapeId="0" xr:uid="{93B6FC70-4B37-4AAF-8890-5012C315EC47}">
      <text>
        <t>[Threaded comment]
Your version of Excel allows you to read this threaded comment; however, any edits to it will get removed if the file is opened in a newer version of Excel. Learn more: https://go.microsoft.com/fwlink/?linkid=870924
Comment:
    Start neg</t>
      </text>
    </comment>
    <comment ref="AD29" authorId="3" shapeId="0" xr:uid="{ADE066DB-8515-4585-9D4B-36D0B8B7DEE9}">
      <text>
        <t>[Threaded comment]
Your version of Excel allows you to read this threaded comment; however, any edits to it will get removed if the file is opened in a newer version of Excel. Learn more: https://go.microsoft.com/fwlink/?linkid=870924
Comment:
    Start neg</t>
      </text>
    </comment>
    <comment ref="AJ29" authorId="4" shapeId="0" xr:uid="{F48D610F-E45B-4DA3-AE4E-DCF6B4D939AF}">
      <text>
        <t>[Threaded comment]
Your version of Excel allows you to read this threaded comment; however, any edits to it will get removed if the file is opened in a newer version of Excel. Learn more: https://go.microsoft.com/fwlink/?linkid=870924
Comment:
    Start neg</t>
      </text>
    </comment>
    <comment ref="AN29" authorId="5" shapeId="0" xr:uid="{F53A5954-B73B-4766-9CF9-AEB286CB7304}">
      <text>
        <t>[Threaded comment]
Your version of Excel allows you to read this threaded comment; however, any edits to it will get removed if the file is opened in a newer version of Excel. Learn more: https://go.microsoft.com/fwlink/?linkid=870924
Comment:
    Start neg</t>
      </text>
    </comment>
    <comment ref="AH30" authorId="6" shapeId="0" xr:uid="{BD16B388-D8EE-4B9D-90EE-A7562934C884}">
      <text>
        <t>[Threaded comment]
Your version of Excel allows you to read this threaded comment; however, any edits to it will get removed if the file is opened in a newer version of Excel. Learn more: https://go.microsoft.com/fwlink/?linkid=870924
Comment:
    Start neg</t>
      </text>
    </comment>
    <comment ref="AM31" authorId="7" shapeId="0" xr:uid="{3A2D927F-3EFC-4FC9-B025-8A95EAD4F91B}">
      <text>
        <t>[Threaded comment]
Your version of Excel allows you to read this threaded comment; however, any edits to it will get removed if the file is opened in a newer version of Excel. Learn more: https://go.microsoft.com/fwlink/?linkid=870924
Comment:
    Start neg</t>
      </text>
    </comment>
    <comment ref="AE32" authorId="8" shapeId="0" xr:uid="{41B9B9E4-7A19-4E98-BED2-BBD26CF801EA}">
      <text>
        <t>[Threaded comment]
Your version of Excel allows you to read this threaded comment; however, any edits to it will get removed if the file is opened in a newer version of Excel. Learn more: https://go.microsoft.com/fwlink/?linkid=870924
Comment:
    Start neg</t>
      </text>
    </comment>
    <comment ref="AI34" authorId="9" shapeId="0" xr:uid="{6ED74F51-22EB-4DF8-8BCC-DEBED4D2BAF4}">
      <text>
        <t>[Threaded comment]
Your version of Excel allows you to read this threaded comment; however, any edits to it will get removed if the file is opened in a newer version of Excel. Learn more: https://go.microsoft.com/fwlink/?linkid=870924
Comment:
    Start neg</t>
      </text>
    </comment>
    <comment ref="AF36" authorId="10" shapeId="0" xr:uid="{C0257F60-28FA-4ACC-99E8-46710C3E89E2}">
      <text>
        <t>[Threaded comment]
Your version of Excel allows you to read this threaded comment; however, any edits to it will get removed if the file is opened in a newer version of Excel. Learn more: https://go.microsoft.com/fwlink/?linkid=870924
Comment:
    Start neg</t>
      </text>
    </comment>
    <comment ref="AK36" authorId="11" shapeId="0" xr:uid="{994C9C97-5E8F-4EF2-BA75-1E5163CFB247}">
      <text>
        <t>[Threaded comment]
Your version of Excel allows you to read this threaded comment; however, any edits to it will get removed if the file is opened in a newer version of Excel. Learn more: https://go.microsoft.com/fwlink/?linkid=870924
Comment:
    Start neg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tc={46AF5C5B-A566-4A3D-A594-223CD20883D6}</author>
  </authors>
  <commentList>
    <comment ref="A1" authorId="0" shapeId="0" xr:uid="{46AF5C5B-A566-4A3D-A594-223CD20883D6}">
      <text>
        <t>[Threaded comment]
Your version of Excel allows you to read this threaded comment; however, any edits to it will get removed if the file is opened in a newer version of Excel. Learn more: https://go.microsoft.com/fwlink/?linkid=870924
Comment:
    b/c on relation to degree?
Note trends on degree level and typical primary work activity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tc={D163C814-3E09-4D10-853E-04EC6FCF3320}</author>
    <author>tc={7FDE2C46-2716-4053-8C66-856A432B8785}</author>
  </authors>
  <commentList>
    <comment ref="A1" authorId="0" shapeId="0" xr:uid="{D163C814-3E09-4D10-853E-04EC6FCF3320}">
      <text>
        <t>[Threaded comment]
Your version of Excel allows you to read this threaded comment; however, any edits to it will get removed if the file is opened in a newer version of Excel. Learn more: https://go.microsoft.com/fwlink/?linkid=870924
Comment:
    Benefit - obtained for personal
Cost - obtained for work
Switch b/c? Note which is most pop to need additional certs/licenses...additional cert/license = cost?</t>
      </text>
    </comment>
    <comment ref="AC5" authorId="1" shapeId="0" xr:uid="{7FDE2C46-2716-4053-8C66-856A432B8785}">
      <text>
        <t>[Threaded comment]
Your version of Excel allows you to read this threaded comment; however, any edits to it will get removed if the file is opened in a newer version of Excel. Learn more: https://go.microsoft.com/fwlink/?linkid=870924
Comment:
    b/c on relation to degree?
Note trends on degree level and typical primary work activity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tc={89562B0C-AF8A-4B9A-9CE8-DCFA35D3A71A}</author>
  </authors>
  <commentList>
    <comment ref="A2" authorId="0" shapeId="0" xr:uid="{89562B0C-AF8A-4B9A-9CE8-DCFA35D3A71A}">
      <text>
        <t xml:space="preserve">[Threaded comment]
Your version of Excel allows you to read this threaded comment; however, any edits to it will get removed if the file is opened in a newer version of Excel. Learn more: https://go.microsoft.com/fwlink/?linkid=870924
Comment:
    Fin data
Note any trends with demos
This is a benefit
Use to make payback period? Break-even analysis? </t>
      </text>
    </comment>
  </commentList>
</comments>
</file>

<file path=xl/sharedStrings.xml><?xml version="1.0" encoding="utf-8"?>
<sst xmlns="http://schemas.openxmlformats.org/spreadsheetml/2006/main" count="13113" uniqueCount="1075">
  <si>
    <r>
      <rPr>
        <b/>
        <sz val="16.5"/>
        <color rgb="FF004E9D"/>
        <rFont val="Gill Sans MT"/>
        <family val="2"/>
      </rPr>
      <t>Contents</t>
    </r>
  </si>
  <si>
    <r>
      <rPr>
        <sz val="12"/>
        <color rgb="FF707070"/>
        <rFont val="Gill Sans MT"/>
        <family val="2"/>
      </rPr>
      <t>National Center for Science and Engineering Statistics</t>
    </r>
  </si>
  <si>
    <r>
      <rPr>
        <b/>
        <sz val="28.5"/>
        <color rgb="FF004E9D"/>
        <rFont val="Gill Sans MT"/>
        <family val="2"/>
      </rPr>
      <t xml:space="preserve">National Survey of College Graduates: 2021
</t>
    </r>
    <r>
      <rPr>
        <b/>
        <sz val="11"/>
        <color rgb="FF5B0A0B"/>
        <rFont val="Gill Sans MT"/>
        <family val="2"/>
      </rPr>
      <t>Data Tables   |   NSF 23-306    |   January 27, 2023</t>
    </r>
  </si>
  <si>
    <r>
      <rPr>
        <sz val="10.5"/>
        <color rgb="FF004E9D"/>
        <rFont val="Gill Sans MT"/>
        <family val="2"/>
      </rPr>
      <t>General Notes                                                                                                                                                         2</t>
    </r>
  </si>
  <si>
    <r>
      <rPr>
        <sz val="10.5"/>
        <color rgb="FF004E9D"/>
        <rFont val="Gill Sans MT"/>
        <family val="2"/>
      </rPr>
      <t>Data Tables                                                                                                                                                            3</t>
    </r>
  </si>
  <si>
    <r>
      <rPr>
        <sz val="10.5"/>
        <color rgb="FF004E9D"/>
        <rFont val="Gill Sans MT"/>
        <family val="2"/>
      </rPr>
      <t>Technical Notes                                                                                                                                                 108</t>
    </r>
  </si>
  <si>
    <r>
      <rPr>
        <sz val="10.5"/>
        <color rgb="FF004E9D"/>
        <rFont val="Gill Sans MT"/>
        <family val="2"/>
      </rPr>
      <t>Technical Tables                                                                                                                                                116</t>
    </r>
  </si>
  <si>
    <r>
      <rPr>
        <sz val="10.5"/>
        <color rgb="FF004E9D"/>
        <rFont val="Gill Sans MT"/>
        <family val="2"/>
      </rPr>
      <t>Notes                                                                                                                                                                  125</t>
    </r>
  </si>
  <si>
    <r>
      <rPr>
        <sz val="10.5"/>
        <color rgb="FF004E9D"/>
        <rFont val="Gill Sans MT"/>
        <family val="2"/>
      </rPr>
      <t>Acknowledgments and Suggested Citation                                                                                                       126</t>
    </r>
  </si>
  <si>
    <r>
      <rPr>
        <sz val="10.5"/>
        <color rgb="FF004E9D"/>
        <rFont val="Gill Sans MT"/>
        <family val="2"/>
      </rPr>
      <t>Contact Us                                                                                                                                                          127</t>
    </r>
  </si>
  <si>
    <r>
      <rPr>
        <b/>
        <sz val="16.5"/>
        <color rgb="FF2060AC"/>
        <rFont val="Gill Sans MT"/>
        <family val="2"/>
      </rPr>
      <t>General Notes</t>
    </r>
  </si>
  <si>
    <r>
      <rPr>
        <sz val="10"/>
        <rFont val="Gill Sans MT"/>
        <family val="2"/>
      </rPr>
      <t>The National Survey of College Graduates, conducted by the National Center for Science and Engineering Statistics within the National Science Foundation, is a repeated cross-sectional biennial survey that collects information on the nation’s college-educated workforce. This survey is a unique source for examining the relationship between degree field and occupation, as well as for examining other characteristics of college-educated individuals, including work activities, salary, and demographic information.</t>
    </r>
  </si>
  <si>
    <r>
      <rPr>
        <b/>
        <sz val="16.5"/>
        <color rgb="FF2060AC"/>
        <rFont val="Gill Sans MT"/>
        <family val="2"/>
      </rPr>
      <t>Data Tables</t>
    </r>
  </si>
  <si>
    <r>
      <rPr>
        <b/>
        <sz val="13.5"/>
        <color rgb="FF004E9D"/>
        <rFont val="Gill Sans MT"/>
        <family val="2"/>
      </rPr>
      <t>Fields of study of college graduates</t>
    </r>
  </si>
  <si>
    <r>
      <rPr>
        <sz val="8"/>
        <rFont val="Gill Sans MT"/>
        <family val="2"/>
      </rPr>
      <t>Table          Title</t>
    </r>
  </si>
  <si>
    <r>
      <rPr>
        <sz val="9"/>
        <color rgb="FF004E9D"/>
        <rFont val="Gill Sans MT"/>
        <family val="2"/>
      </rPr>
      <t xml:space="preserve">1-1            </t>
    </r>
    <r>
      <rPr>
        <sz val="10"/>
        <rFont val="Gill Sans MT"/>
        <family val="2"/>
      </rPr>
      <t>College graduates, by level of highest degree, minor field of highest degree, and labor force status: 2021</t>
    </r>
  </si>
  <si>
    <r>
      <rPr>
        <sz val="9"/>
        <color rgb="FF004E9D"/>
        <rFont val="Gill Sans MT"/>
        <family val="2"/>
      </rPr>
      <t xml:space="preserve">1-2            </t>
    </r>
    <r>
      <rPr>
        <sz val="10"/>
        <rFont val="Gill Sans MT"/>
        <family val="2"/>
      </rPr>
      <t xml:space="preserve">Employed college graduates, by level of highest degree, minor field of highest degree, and major occupation:
</t>
    </r>
    <r>
      <rPr>
        <sz val="10"/>
        <rFont val="Gill Sans MT"/>
        <family val="2"/>
      </rPr>
      <t>2021</t>
    </r>
  </si>
  <si>
    <r>
      <rPr>
        <sz val="9"/>
        <color rgb="FF004E9D"/>
        <rFont val="Gill Sans MT"/>
        <family val="2"/>
      </rPr>
      <t xml:space="preserve">1-3            </t>
    </r>
    <r>
      <rPr>
        <sz val="10"/>
        <rFont val="Gill Sans MT"/>
        <family val="2"/>
      </rPr>
      <t xml:space="preserve">Relationship of highest degree to job among employed college graduates, by level of highest degree, minor field
</t>
    </r>
    <r>
      <rPr>
        <sz val="10"/>
        <rFont val="Gill Sans MT"/>
        <family val="2"/>
      </rPr>
      <t>of highest degree, and broad occupation: 2021</t>
    </r>
  </si>
  <si>
    <r>
      <rPr>
        <sz val="9"/>
        <color rgb="FF004E9D"/>
        <rFont val="Gill Sans MT"/>
        <family val="2"/>
      </rPr>
      <t xml:space="preserve">1-4            </t>
    </r>
    <r>
      <rPr>
        <sz val="10"/>
        <rFont val="Gill Sans MT"/>
        <family val="2"/>
      </rPr>
      <t xml:space="preserve">Employed college graduates, by level of highest degree, minor field of highest degree, and detailed employment
</t>
    </r>
    <r>
      <rPr>
        <sz val="10"/>
        <rFont val="Gill Sans MT"/>
        <family val="2"/>
      </rPr>
      <t>sector: 2021</t>
    </r>
  </si>
  <si>
    <r>
      <rPr>
        <sz val="9"/>
        <color rgb="FF004E9D"/>
        <rFont val="Gill Sans MT"/>
        <family val="2"/>
      </rPr>
      <t xml:space="preserve">1-5            </t>
    </r>
    <r>
      <rPr>
        <sz val="10"/>
        <rFont val="Gill Sans MT"/>
        <family val="2"/>
      </rPr>
      <t xml:space="preserve">Employed scientists and engineers, by sex, major field of highest degree, ethnicity, race, disability status, and
</t>
    </r>
    <r>
      <rPr>
        <sz val="10"/>
        <rFont val="Gill Sans MT"/>
        <family val="2"/>
      </rPr>
      <t>type of disability: 2021</t>
    </r>
  </si>
  <si>
    <r>
      <rPr>
        <b/>
        <sz val="13.5"/>
        <color rgb="FF004E9D"/>
        <rFont val="Gill Sans MT"/>
        <family val="2"/>
      </rPr>
      <t>Occupations of college graduates</t>
    </r>
  </si>
  <si>
    <r>
      <rPr>
        <sz val="9"/>
        <color rgb="FF004E9D"/>
        <rFont val="Gill Sans MT"/>
        <family val="2"/>
      </rPr>
      <t xml:space="preserve">2-1            </t>
    </r>
    <r>
      <rPr>
        <sz val="10"/>
        <rFont val="Gill Sans MT"/>
        <family val="2"/>
      </rPr>
      <t xml:space="preserve">Employed college graduates, by level of highest degree, major occupation, sex, ethnicity, race, and disability
</t>
    </r>
    <r>
      <rPr>
        <sz val="10"/>
        <rFont val="Gill Sans MT"/>
        <family val="2"/>
      </rPr>
      <t>status: 2021</t>
    </r>
  </si>
  <si>
    <r>
      <rPr>
        <sz val="9"/>
        <color rgb="FF004E9D"/>
        <rFont val="Gill Sans MT"/>
        <family val="2"/>
      </rPr>
      <t xml:space="preserve">2-2            </t>
    </r>
    <r>
      <rPr>
        <sz val="10"/>
        <rFont val="Gill Sans MT"/>
        <family val="2"/>
      </rPr>
      <t>Full-time employed college graduates, by major occupation, age, level of highest degree, and sex: 2021</t>
    </r>
  </si>
  <si>
    <r>
      <rPr>
        <sz val="9"/>
        <color rgb="FF004E9D"/>
        <rFont val="Gill Sans MT"/>
        <family val="2"/>
      </rPr>
      <t xml:space="preserve">2-3            </t>
    </r>
    <r>
      <rPr>
        <sz val="10"/>
        <rFont val="Gill Sans MT"/>
        <family val="2"/>
      </rPr>
      <t xml:space="preserve">Full-time employed college graduates, by sex, major occupation, age, ethnicity, race, disability status, and
</t>
    </r>
    <r>
      <rPr>
        <sz val="10"/>
        <rFont val="Gill Sans MT"/>
        <family val="2"/>
      </rPr>
      <t>citizenship status: 2021</t>
    </r>
  </si>
  <si>
    <r>
      <rPr>
        <sz val="9"/>
        <color rgb="FF004E9D"/>
        <rFont val="Gill Sans MT"/>
        <family val="2"/>
      </rPr>
      <t xml:space="preserve">2-4            </t>
    </r>
    <r>
      <rPr>
        <sz val="10"/>
        <rFont val="Gill Sans MT"/>
        <family val="2"/>
      </rPr>
      <t>Employed college graduates, by minor occupation and major field of highest degree: 2021</t>
    </r>
  </si>
  <si>
    <r>
      <rPr>
        <sz val="9"/>
        <color rgb="FF004E9D"/>
        <rFont val="Gill Sans MT"/>
        <family val="2"/>
      </rPr>
      <t xml:space="preserve">2-5            </t>
    </r>
    <r>
      <rPr>
        <sz val="10"/>
        <rFont val="Gill Sans MT"/>
        <family val="2"/>
      </rPr>
      <t xml:space="preserve">Employed college graduates, by major occupation, sex, ethnicity, race, disability status, and detailed employment
</t>
    </r>
    <r>
      <rPr>
        <sz val="10"/>
        <rFont val="Gill Sans MT"/>
        <family val="2"/>
      </rPr>
      <t>sector: 2021</t>
    </r>
  </si>
  <si>
    <r>
      <rPr>
        <sz val="9"/>
        <color rgb="FF004E9D"/>
        <rFont val="Gill Sans MT"/>
        <family val="2"/>
      </rPr>
      <t xml:space="preserve">2-6            </t>
    </r>
    <r>
      <rPr>
        <sz val="10"/>
        <rFont val="Gill Sans MT"/>
        <family val="2"/>
      </rPr>
      <t xml:space="preserve">Employed college graduates, by level of highest degree, major occupation, possession of a certification or
</t>
    </r>
    <r>
      <rPr>
        <sz val="10"/>
        <rFont val="Gill Sans MT"/>
        <family val="2"/>
      </rPr>
      <t>license, and primary field of certification or license: 2021</t>
    </r>
  </si>
  <si>
    <r>
      <rPr>
        <b/>
        <sz val="13.5"/>
        <color rgb="FF004E9D"/>
        <rFont val="Gill Sans MT"/>
        <family val="2"/>
      </rPr>
      <t>Work activities and job satisfaction of employed college graduates</t>
    </r>
  </si>
  <si>
    <r>
      <rPr>
        <sz val="9"/>
        <color rgb="FF004E9D"/>
        <rFont val="Gill Sans MT"/>
        <family val="2"/>
      </rPr>
      <t xml:space="preserve">3-1            </t>
    </r>
    <r>
      <rPr>
        <sz val="10"/>
        <rFont val="Gill Sans MT"/>
        <family val="2"/>
      </rPr>
      <t>Employed college graduates, by level of highest degree, minor occupation, and primary work activity: 2021</t>
    </r>
  </si>
  <si>
    <r>
      <rPr>
        <sz val="9"/>
        <color rgb="FF004E9D"/>
        <rFont val="Gill Sans MT"/>
        <family val="2"/>
      </rPr>
      <t xml:space="preserve">3-2            </t>
    </r>
    <r>
      <rPr>
        <sz val="10"/>
        <rFont val="Gill Sans MT"/>
        <family val="2"/>
      </rPr>
      <t>Employed college graduates, by employment sector, minor occupation, and job satisfaction: 2021</t>
    </r>
  </si>
  <si>
    <r>
      <rPr>
        <sz val="9"/>
        <color rgb="FF004E9D"/>
        <rFont val="Gill Sans MT"/>
        <family val="2"/>
      </rPr>
      <t xml:space="preserve">3-3            </t>
    </r>
    <r>
      <rPr>
        <sz val="10"/>
        <rFont val="Gill Sans MT"/>
        <family val="2"/>
      </rPr>
      <t>Employed college graduates, by sex, major occupation, job satisfaction, and primary work activity: 2021</t>
    </r>
  </si>
  <si>
    <r>
      <rPr>
        <sz val="9"/>
        <color rgb="FF004E9D"/>
        <rFont val="Gill Sans MT"/>
        <family val="2"/>
      </rPr>
      <t xml:space="preserve">3-4            </t>
    </r>
    <r>
      <rPr>
        <sz val="10"/>
        <rFont val="Gill Sans MT"/>
        <family val="2"/>
      </rPr>
      <t>Employed college graduates, by sex, major occupation, job satisfaction, and years since highest degree: 2021</t>
    </r>
  </si>
  <si>
    <r>
      <rPr>
        <b/>
        <sz val="13.5"/>
        <color rgb="FF004E9D"/>
        <rFont val="Gill Sans MT"/>
        <family val="2"/>
      </rPr>
      <t>Median salaries of full-time employed college graduates</t>
    </r>
  </si>
  <si>
    <r>
      <rPr>
        <sz val="9"/>
        <color rgb="FF004E9D"/>
        <rFont val="Gill Sans MT"/>
        <family val="2"/>
      </rPr>
      <t xml:space="preserve">4-1            </t>
    </r>
    <r>
      <rPr>
        <sz val="10"/>
        <rFont val="Gill Sans MT"/>
        <family val="2"/>
      </rPr>
      <t xml:space="preserve">Median annual salaries of full-time employed college graduates, by major occupation, age, level of highest
</t>
    </r>
    <r>
      <rPr>
        <sz val="10"/>
        <rFont val="Gill Sans MT"/>
        <family val="2"/>
      </rPr>
      <t>degree, and sex: 2021</t>
    </r>
  </si>
  <si>
    <r>
      <rPr>
        <sz val="9"/>
        <color rgb="FF004E9D"/>
        <rFont val="Gill Sans MT"/>
        <family val="2"/>
      </rPr>
      <t xml:space="preserve">4-2            </t>
    </r>
    <r>
      <rPr>
        <sz val="10"/>
        <rFont val="Gill Sans MT"/>
        <family val="2"/>
      </rPr>
      <t xml:space="preserve">Median annual salaries of full-time employed college graduates, by sex, major occupation, age, ethnicity, race,
</t>
    </r>
    <r>
      <rPr>
        <sz val="10"/>
        <rFont val="Gill Sans MT"/>
        <family val="2"/>
      </rPr>
      <t>disability status, and citizenship status: 2021</t>
    </r>
  </si>
  <si>
    <r>
      <rPr>
        <sz val="9"/>
        <color rgb="FF004E9D"/>
        <rFont val="Gill Sans MT"/>
        <family val="2"/>
      </rPr>
      <t xml:space="preserve">4-3            </t>
    </r>
    <r>
      <rPr>
        <sz val="10"/>
        <rFont val="Gill Sans MT"/>
        <family val="2"/>
      </rPr>
      <t xml:space="preserve">Employment counts and median annual salaries of full-time employed scientists and engineers, by major field of
</t>
    </r>
    <r>
      <rPr>
        <sz val="10"/>
        <rFont val="Gill Sans MT"/>
        <family val="2"/>
      </rPr>
      <t>highest degree, employment sector, and primary work activity: 2021</t>
    </r>
  </si>
  <si>
    <r>
      <rPr>
        <b/>
        <sz val="13.5"/>
        <color rgb="FF004E9D"/>
        <rFont val="Gill Sans MT"/>
        <family val="2"/>
      </rPr>
      <t>Demographic characteristics of college graduates</t>
    </r>
  </si>
  <si>
    <r>
      <rPr>
        <sz val="9"/>
        <color rgb="FF004E9D"/>
        <rFont val="Gill Sans MT"/>
        <family val="2"/>
      </rPr>
      <t xml:space="preserve">5-1            </t>
    </r>
    <r>
      <rPr>
        <sz val="10"/>
        <rFont val="Gill Sans MT"/>
        <family val="2"/>
      </rPr>
      <t xml:space="preserve">College graduates, by age, sex, ethnicity, race, disability status, and age at onset of disability, broad occupation,
</t>
    </r>
    <r>
      <rPr>
        <sz val="10"/>
        <rFont val="Gill Sans MT"/>
        <family val="2"/>
      </rPr>
      <t>labor force status, and median annual salary: 2021</t>
    </r>
  </si>
  <si>
    <r>
      <rPr>
        <sz val="9"/>
        <color rgb="FF004E9D"/>
        <rFont val="Gill Sans MT"/>
        <family val="2"/>
      </rPr>
      <t xml:space="preserve">5-2            </t>
    </r>
    <r>
      <rPr>
        <sz val="10"/>
        <rFont val="Gill Sans MT"/>
        <family val="2"/>
      </rPr>
      <t xml:space="preserve">College graduates, by broad occupation, labor force status, labor force status characteristics, sex, ethnicity, race,
</t>
    </r>
    <r>
      <rPr>
        <sz val="10"/>
        <rFont val="Gill Sans MT"/>
        <family val="2"/>
      </rPr>
      <t>and disability status: 2021</t>
    </r>
  </si>
  <si>
    <r>
      <rPr>
        <sz val="9"/>
        <color rgb="FF004E9D"/>
        <rFont val="Gill Sans MT"/>
        <family val="2"/>
      </rPr>
      <t xml:space="preserve">5-3            </t>
    </r>
    <r>
      <rPr>
        <sz val="10"/>
        <rFont val="Gill Sans MT"/>
        <family val="2"/>
      </rPr>
      <t xml:space="preserve">College graduates, by broad field of highest degree, father's education, mother's education, level of highest
</t>
    </r>
    <r>
      <rPr>
        <sz val="10"/>
        <rFont val="Gill Sans MT"/>
        <family val="2"/>
      </rPr>
      <t>degree, and median amount borrowed to finance undergraduate degree: 2021</t>
    </r>
  </si>
  <si>
    <r>
      <rPr>
        <sz val="9"/>
        <color rgb="FF004E9D"/>
        <rFont val="Gill Sans MT"/>
        <family val="2"/>
      </rPr>
      <t xml:space="preserve">5-4            </t>
    </r>
    <r>
      <rPr>
        <sz val="10"/>
        <rFont val="Gill Sans MT"/>
        <family val="2"/>
      </rPr>
      <t xml:space="preserve">Employed college graduates, by nativity, level of highest degree, major occupation, and employment sector:
</t>
    </r>
    <r>
      <rPr>
        <sz val="10"/>
        <rFont val="Gill Sans MT"/>
        <family val="2"/>
      </rPr>
      <t>2021</t>
    </r>
  </si>
  <si>
    <r>
      <rPr>
        <sz val="9"/>
        <color rgb="FF004E9D"/>
        <rFont val="Gill Sans MT"/>
        <family val="2"/>
      </rPr>
      <t xml:space="preserve">5-5            </t>
    </r>
    <r>
      <rPr>
        <sz val="10"/>
        <rFont val="Gill Sans MT"/>
        <family val="2"/>
      </rPr>
      <t>Employed foreign-born college graduates, by broad degree field, country of birth, and broad occupation: 2021</t>
    </r>
  </si>
  <si>
    <r>
      <rPr>
        <b/>
        <sz val="13.5"/>
        <color rgb="FF004E9D"/>
        <rFont val="Gill Sans MT"/>
        <family val="2"/>
      </rPr>
      <t>College graduates over time</t>
    </r>
  </si>
  <si>
    <r>
      <rPr>
        <sz val="9"/>
        <color rgb="FF004E9D"/>
        <rFont val="Gill Sans MT"/>
        <family val="2"/>
      </rPr>
      <t xml:space="preserve">6-1            </t>
    </r>
    <r>
      <rPr>
        <sz val="10"/>
        <rFont val="Gill Sans MT"/>
        <family val="2"/>
      </rPr>
      <t>Employed scientists and engineers, by level of highest degree and minor field of highest degree: 2003–21</t>
    </r>
  </si>
  <si>
    <r>
      <rPr>
        <sz val="9"/>
        <color rgb="FF004E9D"/>
        <rFont val="Gill Sans MT"/>
        <family val="2"/>
      </rPr>
      <t xml:space="preserve">6-2            </t>
    </r>
    <r>
      <rPr>
        <sz val="10"/>
        <rFont val="Gill Sans MT"/>
        <family val="2"/>
      </rPr>
      <t>Employed college graduates, by sex, race, ethnicity, and major occupation: 2003–21</t>
    </r>
  </si>
  <si>
    <r>
      <rPr>
        <sz val="9"/>
        <color rgb="FF004E9D"/>
        <rFont val="Gill Sans MT"/>
        <family val="2"/>
      </rPr>
      <t xml:space="preserve">6-3            </t>
    </r>
    <r>
      <rPr>
        <sz val="10"/>
        <rFont val="Gill Sans MT"/>
        <family val="2"/>
      </rPr>
      <t>Employed college graduates, by sex, level of highest degree, and major occupation: 2003–21</t>
    </r>
  </si>
  <si>
    <r>
      <rPr>
        <sz val="9"/>
        <color rgb="FF004E9D"/>
        <rFont val="Gill Sans MT"/>
        <family val="2"/>
      </rPr>
      <t xml:space="preserve">6-4            </t>
    </r>
    <r>
      <rPr>
        <sz val="10"/>
        <rFont val="Gill Sans MT"/>
        <family val="2"/>
      </rPr>
      <t>Employed college graduates, by nativity, level of highest degree, and major occupation: 2003–21</t>
    </r>
  </si>
  <si>
    <t>All</t>
  </si>
  <si>
    <t>Bachelor's</t>
  </si>
  <si>
    <t>Master's</t>
  </si>
  <si>
    <t>Doctorate</t>
  </si>
  <si>
    <t>Population</t>
  </si>
  <si>
    <t>Financial</t>
  </si>
  <si>
    <t>Net Benefits</t>
  </si>
  <si>
    <t>Benefit-Cost Ratio</t>
  </si>
  <si>
    <t>BCR</t>
  </si>
  <si>
    <t>PV Benefits</t>
  </si>
  <si>
    <t>PV Costs</t>
  </si>
  <si>
    <t>NPV</t>
  </si>
  <si>
    <t>ROI</t>
  </si>
  <si>
    <t>Population Data</t>
  </si>
  <si>
    <t>Financial Data</t>
  </si>
  <si>
    <t>Benefit Categories</t>
  </si>
  <si>
    <t>Benefit Values</t>
  </si>
  <si>
    <t>Cost Categories</t>
  </si>
  <si>
    <t>Cost Values</t>
  </si>
  <si>
    <t>Employed</t>
  </si>
  <si>
    <t>Unemployed</t>
  </si>
  <si>
    <t>Median Annual Salary</t>
  </si>
  <si>
    <t>Avg Amt Borrowed to Finance Degree</t>
  </si>
  <si>
    <t>Not in Labor Force</t>
  </si>
  <si>
    <t>Median Annual Salary (Without Cert/License)</t>
  </si>
  <si>
    <t>Median Annual Salary (With Cert/License)</t>
  </si>
  <si>
    <t>Related degree and job relation</t>
  </si>
  <si>
    <t>Not related degree and job relation</t>
  </si>
  <si>
    <t>Avg Cost of Degree (Annually)</t>
  </si>
  <si>
    <t>Positive Relations Amongst Demographic Factors for Employed Graduates:</t>
  </si>
  <si>
    <t>Negative Relations Amongst Demographic Factors for Employed Graduates:</t>
  </si>
  <si>
    <t>Total</t>
  </si>
  <si>
    <t>Female</t>
  </si>
  <si>
    <t>Male</t>
  </si>
  <si>
    <t>Hispanic or Latino</t>
  </si>
  <si>
    <t>American Indian or Alaska Native</t>
  </si>
  <si>
    <t>Asian</t>
  </si>
  <si>
    <t>Black</t>
  </si>
  <si>
    <t>*nper=4 for typical 4 yrs that students are in school?</t>
  </si>
  <si>
    <t>Native Hawaiian or Other Pacific Islander</t>
  </si>
  <si>
    <t>White</t>
  </si>
  <si>
    <t>More than one race</t>
  </si>
  <si>
    <t>Without Disability</t>
  </si>
  <si>
    <t>With Disability</t>
  </si>
  <si>
    <t xml:space="preserve">Foreign-Born </t>
  </si>
  <si>
    <t xml:space="preserve">US-Born </t>
  </si>
  <si>
    <t>Positive Relations Amongst Demographic Factors for Full-Time Employed Graduates:</t>
  </si>
  <si>
    <t>Negative Relations Amongst Demographic Factors for Full-Time Employed Graduates:</t>
  </si>
  <si>
    <t>Obtained Certification/License for Non-Work Reasons</t>
  </si>
  <si>
    <t>Obtained Certification/License for Work Reasons</t>
  </si>
  <si>
    <t>Positive Time-Series Trend for Employed Scientists and Engineers</t>
  </si>
  <si>
    <t>Negative Time-Series Trend for Employed Scientists and Engineers</t>
  </si>
  <si>
    <t>Positive Time-Series Trend for Employed College Graduates:</t>
  </si>
  <si>
    <t>Negative Time-Series Trend for Employed College Graduates:</t>
  </si>
  <si>
    <t>Both Sexes</t>
  </si>
  <si>
    <t>All Nativities</t>
  </si>
  <si>
    <t>*All population data values are probability values calculated from the given data from our sources</t>
  </si>
  <si>
    <t>Bachelor's Degree</t>
  </si>
  <si>
    <t>*Using public school data</t>
  </si>
  <si>
    <t>Master's Degree</t>
  </si>
  <si>
    <t>Doctorate Degree</t>
  </si>
  <si>
    <t>*0.04 is our designated rate as given by a conservative interest rate</t>
  </si>
  <si>
    <t>Median Annual Salary by Degree Level (All)</t>
  </si>
  <si>
    <t>Sensitivity Analysis</t>
  </si>
  <si>
    <t>Increased</t>
  </si>
  <si>
    <t>Decreased</t>
  </si>
  <si>
    <t>Variations +- 10% In Median Salary</t>
  </si>
  <si>
    <t>Adjusted Net Benefits</t>
  </si>
  <si>
    <t>Adjusted Benefit-Cost Ratio</t>
  </si>
  <si>
    <t>Present Value</t>
  </si>
  <si>
    <t>Net Present Value</t>
  </si>
  <si>
    <t>Adjusted Net Present Value</t>
  </si>
  <si>
    <t>Return On Investment</t>
  </si>
  <si>
    <t>Adjusted Return On Investment</t>
  </si>
  <si>
    <t>Interpretation: A 10% increase in Median Salary leads to an approximately 10% increase in Net Benefits, BCR, NPV, and ROI.
Similarly, a 10% decrease in Median Salary decreases these metrics by about 10%.</t>
  </si>
  <si>
    <t>Amount Borrowed (All)</t>
  </si>
  <si>
    <t>AVOIDED EXTREME SCENARIOS (+- 30% : +- 50%)</t>
  </si>
  <si>
    <t>Population Data by Demographic? (All)</t>
  </si>
  <si>
    <t>Employment</t>
  </si>
  <si>
    <t>Employment Probability +- 10%</t>
  </si>
  <si>
    <t>Unemployed +- 10%:</t>
  </si>
  <si>
    <t>Employment Probability +- 20%</t>
  </si>
  <si>
    <t>Unemployed +- 20%:</t>
  </si>
  <si>
    <t>Not in Labor Force +- 10%:</t>
  </si>
  <si>
    <t>Not in Labor Force +- 20%:</t>
  </si>
  <si>
    <t>Job Relevance</t>
  </si>
  <si>
    <t>Job Relevance +- 15%</t>
  </si>
  <si>
    <t>Not related degree and job relation +- 15%</t>
  </si>
  <si>
    <t>Job Relevance +- 30%</t>
  </si>
  <si>
    <t>Not related degree and job relation +- 30%</t>
  </si>
  <si>
    <t>Demographic Factors</t>
  </si>
  <si>
    <t>Female +- 10%</t>
  </si>
  <si>
    <t>Female N/A</t>
  </si>
  <si>
    <t>Male +- 0%</t>
  </si>
  <si>
    <t>Male +- 15%</t>
  </si>
  <si>
    <t>Hispanic or Latino +- 20%</t>
  </si>
  <si>
    <t>Hispanic or Latino N/A</t>
  </si>
  <si>
    <t>American Indian or Alaska Native +- 50%</t>
  </si>
  <si>
    <t>American Indian or Alaska Native N/A</t>
  </si>
  <si>
    <t>Asian +- 15%</t>
  </si>
  <si>
    <t>Asian N/A</t>
  </si>
  <si>
    <t>Black +- 20%</t>
  </si>
  <si>
    <t>Black N/A</t>
  </si>
  <si>
    <t>Native Hawaiian or Other Pacific Islander +- 50%</t>
  </si>
  <si>
    <t>Native Hawaiian or Other Pacific Islander N/A</t>
  </si>
  <si>
    <t>White +- 5%</t>
  </si>
  <si>
    <t>White N/A</t>
  </si>
  <si>
    <t>More than one race +- 30%</t>
  </si>
  <si>
    <t>More than one race N/A</t>
  </si>
  <si>
    <t>Without Disability N/A</t>
  </si>
  <si>
    <t>Without Disability +- 10%</t>
  </si>
  <si>
    <t>With Disability +- 25%</t>
  </si>
  <si>
    <t>With Disability N/A</t>
  </si>
  <si>
    <t>Foreign-Born  +- 15%</t>
  </si>
  <si>
    <t>Foreign-Born N/A</t>
  </si>
  <si>
    <t>US-Born +- 5%</t>
  </si>
  <si>
    <t>US-Born  N/A</t>
  </si>
  <si>
    <t>Male +- 10%</t>
  </si>
  <si>
    <r>
      <rPr>
        <b/>
        <sz val="8"/>
        <color rgb="FF3F3F3F"/>
        <rFont val="Gill Sans MT"/>
        <family val="2"/>
      </rPr>
      <t xml:space="preserve">TABLE 1-1
</t>
    </r>
    <r>
      <rPr>
        <b/>
        <sz val="9"/>
        <rFont val="Gill Sans MT"/>
        <family val="2"/>
      </rPr>
      <t xml:space="preserve">College graduates, by level of highest degree, minor field of highest degree, and labor force status: 2021
</t>
    </r>
    <r>
      <rPr>
        <sz val="7.5"/>
        <rFont val="Gill Sans MT"/>
        <family val="2"/>
      </rPr>
      <t>(Number)</t>
    </r>
  </si>
  <si>
    <r>
      <rPr>
        <sz val="8"/>
        <rFont val="Gill Sans MT"/>
        <family val="2"/>
      </rPr>
      <t>Level and field of highest degree</t>
    </r>
  </si>
  <si>
    <r>
      <rPr>
        <sz val="8"/>
        <rFont val="Gill Sans MT"/>
        <family val="2"/>
      </rPr>
      <t>Total</t>
    </r>
  </si>
  <si>
    <r>
      <rPr>
        <sz val="8"/>
        <rFont val="Gill Sans MT"/>
        <family val="2"/>
      </rPr>
      <t>Employed</t>
    </r>
  </si>
  <si>
    <r>
      <rPr>
        <sz val="8"/>
        <rFont val="Gill Sans MT"/>
        <family val="2"/>
      </rPr>
      <t>Unemployed</t>
    </r>
    <r>
      <rPr>
        <vertAlign val="superscript"/>
        <sz val="7"/>
        <rFont val="Gill Sans MT"/>
        <family val="2"/>
      </rPr>
      <t>a</t>
    </r>
  </si>
  <si>
    <r>
      <rPr>
        <sz val="8"/>
        <rFont val="Gill Sans MT"/>
        <family val="2"/>
      </rPr>
      <t>Not in labor force</t>
    </r>
    <r>
      <rPr>
        <vertAlign val="superscript"/>
        <sz val="7"/>
        <rFont val="Gill Sans MT"/>
        <family val="2"/>
      </rPr>
      <t>b</t>
    </r>
  </si>
  <si>
    <t>P(Employed)</t>
  </si>
  <si>
    <t>P(Unemployed)</t>
  </si>
  <si>
    <t>P(Not in Labor Force)</t>
  </si>
  <si>
    <r>
      <rPr>
        <sz val="8"/>
        <rFont val="Gill Sans MT"/>
        <family val="2"/>
      </rPr>
      <t>S&amp;E occupations</t>
    </r>
  </si>
  <si>
    <r>
      <rPr>
        <sz val="8"/>
        <rFont val="Gill Sans MT"/>
        <family val="2"/>
      </rPr>
      <t>S&amp;E-related occupations</t>
    </r>
  </si>
  <si>
    <r>
      <rPr>
        <sz val="8"/>
        <rFont val="Gill Sans MT"/>
        <family val="2"/>
      </rPr>
      <t>Non-S&amp;E occupations</t>
    </r>
  </si>
  <si>
    <t>All degrees</t>
  </si>
  <si>
    <r>
      <rPr>
        <sz val="8"/>
        <rFont val="Gill Sans MT"/>
        <family val="2"/>
      </rPr>
      <t>S&amp;E fields</t>
    </r>
  </si>
  <si>
    <r>
      <rPr>
        <sz val="8"/>
        <rFont val="Gill Sans MT"/>
        <family val="2"/>
      </rPr>
      <t>Biological, agricultural, and environmental life sciences</t>
    </r>
  </si>
  <si>
    <r>
      <rPr>
        <sz val="8"/>
        <rFont val="Gill Sans MT"/>
        <family val="2"/>
      </rPr>
      <t>Agricultural and food sciences</t>
    </r>
  </si>
  <si>
    <r>
      <rPr>
        <sz val="8"/>
        <rFont val="Gill Sans MT"/>
        <family val="2"/>
      </rPr>
      <t>Biological sciences</t>
    </r>
  </si>
  <si>
    <r>
      <rPr>
        <sz val="8"/>
        <rFont val="Gill Sans MT"/>
        <family val="2"/>
      </rPr>
      <t>Environmental life sciences</t>
    </r>
  </si>
  <si>
    <r>
      <rPr>
        <sz val="8"/>
        <rFont val="Gill Sans MT"/>
        <family val="2"/>
      </rPr>
      <t>Computer and mathematical sciences</t>
    </r>
  </si>
  <si>
    <r>
      <rPr>
        <sz val="8"/>
        <rFont val="Gill Sans MT"/>
        <family val="2"/>
      </rPr>
      <t>Computer and information sciences</t>
    </r>
  </si>
  <si>
    <r>
      <rPr>
        <sz val="8"/>
        <rFont val="Gill Sans MT"/>
        <family val="2"/>
      </rPr>
      <t>Mathematics and statistics</t>
    </r>
  </si>
  <si>
    <r>
      <rPr>
        <sz val="8"/>
        <rFont val="Gill Sans MT"/>
        <family val="2"/>
      </rPr>
      <t>Physical and related sciences</t>
    </r>
  </si>
  <si>
    <r>
      <rPr>
        <sz val="8"/>
        <rFont val="Gill Sans MT"/>
        <family val="2"/>
      </rPr>
      <t>Chemistry, except biochemistry</t>
    </r>
  </si>
  <si>
    <r>
      <rPr>
        <sz val="8"/>
        <rFont val="Gill Sans MT"/>
        <family val="2"/>
      </rPr>
      <t>Earth, atmospheric, and ocean sciences</t>
    </r>
  </si>
  <si>
    <r>
      <rPr>
        <sz val="8"/>
        <rFont val="Gill Sans MT"/>
        <family val="2"/>
      </rPr>
      <t>Physics and astronomy</t>
    </r>
  </si>
  <si>
    <r>
      <rPr>
        <sz val="8"/>
        <rFont val="Gill Sans MT"/>
        <family val="2"/>
      </rPr>
      <t>Other physical sciences</t>
    </r>
  </si>
  <si>
    <r>
      <rPr>
        <sz val="8"/>
        <rFont val="Gill Sans MT"/>
        <family val="2"/>
      </rPr>
      <t>S</t>
    </r>
  </si>
  <si>
    <r>
      <rPr>
        <sz val="8"/>
        <rFont val="Gill Sans MT"/>
        <family val="2"/>
      </rPr>
      <t>Social and related sciences</t>
    </r>
  </si>
  <si>
    <r>
      <rPr>
        <sz val="8"/>
        <rFont val="Gill Sans MT"/>
        <family val="2"/>
      </rPr>
      <t>Economics</t>
    </r>
  </si>
  <si>
    <r>
      <rPr>
        <sz val="8"/>
        <rFont val="Gill Sans MT"/>
        <family val="2"/>
      </rPr>
      <t>Political and related sciences</t>
    </r>
  </si>
  <si>
    <r>
      <rPr>
        <sz val="8"/>
        <rFont val="Gill Sans MT"/>
        <family val="2"/>
      </rPr>
      <t>Psychology</t>
    </r>
  </si>
  <si>
    <r>
      <rPr>
        <sz val="8"/>
        <rFont val="Gill Sans MT"/>
        <family val="2"/>
      </rPr>
      <t>Sociology and anthropology</t>
    </r>
  </si>
  <si>
    <r>
      <rPr>
        <sz val="8"/>
        <rFont val="Gill Sans MT"/>
        <family val="2"/>
      </rPr>
      <t>Other social sciences</t>
    </r>
  </si>
  <si>
    <r>
      <rPr>
        <sz val="8"/>
        <rFont val="Gill Sans MT"/>
        <family val="2"/>
      </rPr>
      <t>Engineering</t>
    </r>
  </si>
  <si>
    <r>
      <rPr>
        <sz val="8"/>
        <rFont val="Gill Sans MT"/>
        <family val="2"/>
      </rPr>
      <t>Aerospace, aeronautical, and astronautical engineering</t>
    </r>
  </si>
  <si>
    <r>
      <rPr>
        <sz val="8"/>
        <rFont val="Gill Sans MT"/>
        <family val="2"/>
      </rPr>
      <t>Chemical engineering</t>
    </r>
  </si>
  <si>
    <r>
      <rPr>
        <sz val="8"/>
        <rFont val="Gill Sans MT"/>
        <family val="2"/>
      </rPr>
      <t>Civil and architectural engineering</t>
    </r>
  </si>
  <si>
    <r>
      <rPr>
        <sz val="8"/>
        <rFont val="Gill Sans MT"/>
        <family val="2"/>
      </rPr>
      <t>Electrical and computer engineering</t>
    </r>
  </si>
  <si>
    <r>
      <rPr>
        <sz val="8"/>
        <rFont val="Gill Sans MT"/>
        <family val="2"/>
      </rPr>
      <t>Industrial engineering</t>
    </r>
  </si>
  <si>
    <r>
      <rPr>
        <sz val="8"/>
        <rFont val="Gill Sans MT"/>
        <family val="2"/>
      </rPr>
      <t>Mechanical engineering</t>
    </r>
  </si>
  <si>
    <r>
      <rPr>
        <sz val="8"/>
        <rFont val="Gill Sans MT"/>
        <family val="2"/>
      </rPr>
      <t>Other engineering</t>
    </r>
  </si>
  <si>
    <r>
      <rPr>
        <sz val="8"/>
        <rFont val="Gill Sans MT"/>
        <family val="2"/>
      </rPr>
      <t>S&amp;E-related fields</t>
    </r>
  </si>
  <si>
    <r>
      <rPr>
        <sz val="8"/>
        <rFont val="Gill Sans MT"/>
        <family val="2"/>
      </rPr>
      <t>Health</t>
    </r>
  </si>
  <si>
    <r>
      <rPr>
        <sz val="8"/>
        <rFont val="Gill Sans MT"/>
        <family val="2"/>
      </rPr>
      <t>Science and mathematics teacher education</t>
    </r>
  </si>
  <si>
    <r>
      <rPr>
        <sz val="8"/>
        <rFont val="Gill Sans MT"/>
        <family val="2"/>
      </rPr>
      <t>Technology and technical fields</t>
    </r>
  </si>
  <si>
    <r>
      <rPr>
        <sz val="8"/>
        <rFont val="Gill Sans MT"/>
        <family val="2"/>
      </rPr>
      <t>Other S&amp;E-related fields</t>
    </r>
  </si>
  <si>
    <r>
      <rPr>
        <sz val="8"/>
        <rFont val="Gill Sans MT"/>
        <family val="2"/>
      </rPr>
      <t>Non-S&amp;E fields</t>
    </r>
  </si>
  <si>
    <r>
      <rPr>
        <sz val="8"/>
        <rFont val="Gill Sans MT"/>
        <family val="2"/>
      </rPr>
      <t>Management and administration fields</t>
    </r>
  </si>
  <si>
    <r>
      <rPr>
        <sz val="8"/>
        <rFont val="Gill Sans MT"/>
        <family val="2"/>
      </rPr>
      <t>Education, except science and math teacher education</t>
    </r>
  </si>
  <si>
    <r>
      <rPr>
        <sz val="8"/>
        <rFont val="Gill Sans MT"/>
        <family val="2"/>
      </rPr>
      <t>Social service and related fields</t>
    </r>
  </si>
  <si>
    <r>
      <rPr>
        <sz val="8"/>
        <rFont val="Gill Sans MT"/>
        <family val="2"/>
      </rPr>
      <t>Sales and marketing fields</t>
    </r>
  </si>
  <si>
    <r>
      <rPr>
        <sz val="8"/>
        <rFont val="Gill Sans MT"/>
        <family val="2"/>
      </rPr>
      <t>Art and humanities fields</t>
    </r>
  </si>
  <si>
    <r>
      <rPr>
        <sz val="8"/>
        <rFont val="Gill Sans MT"/>
        <family val="2"/>
      </rPr>
      <t>Other non-S&amp;E fields</t>
    </r>
  </si>
  <si>
    <r>
      <rPr>
        <sz val="8"/>
        <rFont val="Gill Sans MT"/>
        <family val="2"/>
      </rPr>
      <t>Bachelor's</t>
    </r>
  </si>
  <si>
    <r>
      <rPr>
        <sz val="8"/>
        <rFont val="Gill Sans MT"/>
        <family val="2"/>
      </rPr>
      <t>Master's</t>
    </r>
  </si>
  <si>
    <r>
      <rPr>
        <sz val="8"/>
        <rFont val="Gill Sans MT"/>
        <family val="2"/>
      </rPr>
      <t>D</t>
    </r>
  </si>
  <si>
    <r>
      <rPr>
        <sz val="8"/>
        <rFont val="Gill Sans MT"/>
        <family val="2"/>
      </rPr>
      <t>Doctorate</t>
    </r>
  </si>
  <si>
    <r>
      <rPr>
        <sz val="8"/>
        <rFont val="Gill Sans MT"/>
        <family val="2"/>
      </rPr>
      <t>*</t>
    </r>
  </si>
  <si>
    <r>
      <rPr>
        <sz val="8"/>
        <rFont val="Gill Sans MT"/>
        <family val="2"/>
      </rPr>
      <t>Professional</t>
    </r>
  </si>
  <si>
    <r>
      <rPr>
        <sz val="8"/>
        <rFont val="Gill Sans MT"/>
        <family val="2"/>
      </rPr>
      <t>* = suppressed when population estimate &lt; 500. D = suppressed to avoid disclosure of confidential information. S = suppressed for reliability; coefficient of variation exceeds publication standards.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</si>
  <si>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Unemployed includes individuals who were not working during the survey reference week but had been seeking work in the prior 4 weeks or who were on layoff from their job.
</t>
    </r>
    <r>
      <rPr>
        <vertAlign val="superscript"/>
        <sz val="7"/>
        <rFont val="Gill Sans MT"/>
        <family val="2"/>
      </rPr>
      <t xml:space="preserve">b </t>
    </r>
    <r>
      <rPr>
        <sz val="8"/>
        <rFont val="Gill Sans MT"/>
        <family val="2"/>
      </rPr>
      <t xml:space="preserve">Not in the labor force includes individuals who were not working during the survey reference week and had not been seeking work in the prior 4 weeks because of family responsibilities, chronic illness, or other reasons.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</si>
  <si>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1-2
</t>
    </r>
    <r>
      <rPr>
        <b/>
        <sz val="9"/>
        <rFont val="Gill Sans MT"/>
        <family val="2"/>
      </rPr>
      <t xml:space="preserve">Employed college graduates, by level of highest degree, minor field of highest degree, and major occupation: 2021
</t>
    </r>
    <r>
      <rPr>
        <sz val="7.5"/>
        <rFont val="Gill Sans MT"/>
        <family val="2"/>
      </rPr>
      <t>(Number)</t>
    </r>
  </si>
  <si>
    <r>
      <rPr>
        <sz val="8"/>
        <rFont val="Gill Sans MT"/>
        <family val="2"/>
      </rPr>
      <t>Biological, agricultural, and other life scientists</t>
    </r>
  </si>
  <si>
    <r>
      <rPr>
        <sz val="8"/>
        <rFont val="Gill Sans MT"/>
        <family val="2"/>
      </rPr>
      <t>Computer and mathematical scientists</t>
    </r>
  </si>
  <si>
    <r>
      <rPr>
        <sz val="8"/>
        <rFont val="Gill Sans MT"/>
        <family val="2"/>
      </rPr>
      <t>Physical and related scientists</t>
    </r>
  </si>
  <si>
    <r>
      <rPr>
        <sz val="8"/>
        <rFont val="Gill Sans MT"/>
        <family val="2"/>
      </rPr>
      <t>Social and related scientists</t>
    </r>
  </si>
  <si>
    <r>
      <rPr>
        <sz val="8"/>
        <rFont val="Gill Sans MT"/>
        <family val="2"/>
      </rPr>
      <t>Engineers</t>
    </r>
  </si>
  <si>
    <r>
      <rPr>
        <sz val="8"/>
        <rFont val="Gill Sans MT"/>
        <family val="2"/>
      </rPr>
      <t>All degrees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</si>
  <si>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</si>
  <si>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1-3
</t>
    </r>
    <r>
      <rPr>
        <b/>
        <sz val="9"/>
        <rFont val="Gill Sans MT"/>
        <family val="2"/>
      </rPr>
      <t xml:space="preserve">Relationship of highest degree to job among employed college graduates, by level of highest degree, minor field of highest degree, and broad occupation: 2021
</t>
    </r>
    <r>
      <rPr>
        <sz val="7.5"/>
        <rFont val="Gill Sans MT"/>
        <family val="2"/>
      </rPr>
      <t>(Number)</t>
    </r>
  </si>
  <si>
    <r>
      <rPr>
        <sz val="8"/>
        <rFont val="Gill Sans MT"/>
        <family val="2"/>
      </rPr>
      <t>All</t>
    </r>
  </si>
  <si>
    <t>P(All Closely Related)</t>
  </si>
  <si>
    <t>P(All Somewhat Related)</t>
  </si>
  <si>
    <t>P(All Not Related)</t>
  </si>
  <si>
    <t>P(S&amp;E Closely Related)</t>
  </si>
  <si>
    <t>P(S&amp;E Somewhat Related)</t>
  </si>
  <si>
    <t>P(S&amp;E Not Related)</t>
  </si>
  <si>
    <t>P(S&amp;E Related Closely Related)</t>
  </si>
  <si>
    <t>P(S&amp;E Related Somewhat Related)</t>
  </si>
  <si>
    <t>P(S&amp;E Related Not Related)</t>
  </si>
  <si>
    <t>P(Non-S&amp;E Closely Related)</t>
  </si>
  <si>
    <t>P(Non-S&amp;E Somewhat Related)</t>
  </si>
  <si>
    <t>P(Non-S&amp;E Not Related)</t>
  </si>
  <si>
    <r>
      <rPr>
        <sz val="8"/>
        <rFont val="Gill Sans MT"/>
        <family val="2"/>
      </rPr>
      <t>Closely related</t>
    </r>
  </si>
  <si>
    <r>
      <rPr>
        <sz val="8"/>
        <rFont val="Gill Sans MT"/>
        <family val="2"/>
      </rPr>
      <t>Somewhat related</t>
    </r>
  </si>
  <si>
    <r>
      <rPr>
        <sz val="8"/>
        <rFont val="Gill Sans MT"/>
        <family val="2"/>
      </rPr>
      <t>Not related</t>
    </r>
  </si>
  <si>
    <r>
      <rPr>
        <b/>
        <sz val="8"/>
        <color rgb="FF3F3F3F"/>
        <rFont val="Gill Sans MT"/>
        <family val="2"/>
      </rPr>
      <t xml:space="preserve">TABLE 1-4
</t>
    </r>
    <r>
      <rPr>
        <b/>
        <sz val="9"/>
        <rFont val="Gill Sans MT"/>
        <family val="2"/>
      </rPr>
      <t xml:space="preserve">Employed college graduates, by level of highest degree, minor field of highest degree, and detailed employment sector: 2021
</t>
    </r>
    <r>
      <rPr>
        <sz val="7.5"/>
        <rFont val="Gill Sans MT"/>
        <family val="2"/>
      </rPr>
      <t>(Number)</t>
    </r>
  </si>
  <si>
    <r>
      <rPr>
        <sz val="8"/>
        <rFont val="Gill Sans MT"/>
        <family val="2"/>
      </rPr>
      <t>Business or industry</t>
    </r>
  </si>
  <si>
    <r>
      <rPr>
        <sz val="8"/>
        <rFont val="Gill Sans MT"/>
        <family val="2"/>
      </rPr>
      <t>Education</t>
    </r>
  </si>
  <si>
    <r>
      <rPr>
        <sz val="8"/>
        <rFont val="Gill Sans MT"/>
        <family val="2"/>
      </rPr>
      <t>Government</t>
    </r>
  </si>
  <si>
    <r>
      <rPr>
        <sz val="8"/>
        <rFont val="Gill Sans MT"/>
        <family val="2"/>
      </rPr>
      <t>For-profit business or industry</t>
    </r>
  </si>
  <si>
    <r>
      <rPr>
        <sz val="8"/>
        <rFont val="Gill Sans MT"/>
        <family val="2"/>
      </rPr>
      <t>Nonprofit business or industry</t>
    </r>
  </si>
  <si>
    <r>
      <rPr>
        <sz val="8"/>
        <rFont val="Gill Sans MT"/>
        <family val="2"/>
      </rPr>
      <t>Self-employed, not incorporated</t>
    </r>
  </si>
  <si>
    <r>
      <rPr>
        <sz val="8"/>
        <rFont val="Gill Sans MT"/>
        <family val="2"/>
      </rPr>
      <t>4-year educational institution</t>
    </r>
    <r>
      <rPr>
        <vertAlign val="superscript"/>
        <sz val="7"/>
        <rFont val="Gill Sans MT"/>
        <family val="2"/>
      </rPr>
      <t>a</t>
    </r>
  </si>
  <si>
    <r>
      <rPr>
        <sz val="8"/>
        <rFont val="Gill Sans MT"/>
        <family val="2"/>
      </rPr>
      <t>2-year college or precollege educational institution</t>
    </r>
  </si>
  <si>
    <r>
      <rPr>
        <sz val="8"/>
        <rFont val="Gill Sans MT"/>
        <family val="2"/>
      </rPr>
      <t>Federal government</t>
    </r>
  </si>
  <si>
    <r>
      <rPr>
        <sz val="8"/>
        <rFont val="Gill Sans MT"/>
        <family val="2"/>
      </rPr>
      <t>State or local government</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</si>
  <si>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Includes medical schools and university-affiliated research institutes.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</si>
  <si>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1-5
</t>
    </r>
    <r>
      <rPr>
        <b/>
        <sz val="9"/>
        <rFont val="Gill Sans MT"/>
        <family val="2"/>
      </rPr>
      <t xml:space="preserve">Employed scientists and engineers, by sex, major field of highest degree, ethnicity, race, disability status, and type of disability: 2021
</t>
    </r>
    <r>
      <rPr>
        <sz val="7.5"/>
        <rFont val="Gill Sans MT"/>
        <family val="2"/>
      </rPr>
      <t>(Number)</t>
    </r>
  </si>
  <si>
    <r>
      <rPr>
        <sz val="8"/>
        <rFont val="Gill Sans MT"/>
        <family val="2"/>
      </rPr>
      <t>Sex and field of highest degree</t>
    </r>
  </si>
  <si>
    <r>
      <rPr>
        <sz val="8"/>
        <rFont val="Gill Sans MT"/>
        <family val="2"/>
      </rPr>
      <t>Hispanic or Latino</t>
    </r>
  </si>
  <si>
    <r>
      <rPr>
        <sz val="8"/>
        <rFont val="Gill Sans MT"/>
        <family val="2"/>
      </rPr>
      <t>Not Hispanic or Latino</t>
    </r>
  </si>
  <si>
    <r>
      <rPr>
        <sz val="8"/>
        <rFont val="Gill Sans MT"/>
        <family val="2"/>
      </rPr>
      <t>Without disability</t>
    </r>
  </si>
  <si>
    <r>
      <rPr>
        <sz val="8"/>
        <rFont val="Gill Sans MT"/>
        <family val="2"/>
      </rPr>
      <t>With disability</t>
    </r>
  </si>
  <si>
    <r>
      <rPr>
        <sz val="8"/>
        <rFont val="Gill Sans MT"/>
        <family val="2"/>
      </rPr>
      <t>Type of disability</t>
    </r>
  </si>
  <si>
    <r>
      <rPr>
        <sz val="8"/>
        <rFont val="Gill Sans MT"/>
        <family val="2"/>
      </rPr>
      <t>American Indian or Alaska Native</t>
    </r>
  </si>
  <si>
    <r>
      <rPr>
        <sz val="8"/>
        <rFont val="Gill Sans MT"/>
        <family val="2"/>
      </rPr>
      <t>Asian</t>
    </r>
  </si>
  <si>
    <r>
      <rPr>
        <sz val="8"/>
        <rFont val="Gill Sans MT"/>
        <family val="2"/>
      </rPr>
      <t>Black or African American</t>
    </r>
  </si>
  <si>
    <r>
      <rPr>
        <sz val="8"/>
        <rFont val="Gill Sans MT"/>
        <family val="2"/>
      </rPr>
      <t>Native Hawaiian or Other Pacific Islander</t>
    </r>
  </si>
  <si>
    <r>
      <rPr>
        <sz val="8"/>
        <rFont val="Gill Sans MT"/>
        <family val="2"/>
      </rPr>
      <t>White</t>
    </r>
  </si>
  <si>
    <r>
      <rPr>
        <sz val="8"/>
        <rFont val="Gill Sans MT"/>
        <family val="2"/>
      </rPr>
      <t>More than one race</t>
    </r>
  </si>
  <si>
    <r>
      <rPr>
        <sz val="8"/>
        <rFont val="Gill Sans MT"/>
        <family val="2"/>
      </rPr>
      <t>Hearing</t>
    </r>
  </si>
  <si>
    <r>
      <rPr>
        <sz val="8"/>
        <rFont val="Gill Sans MT"/>
        <family val="2"/>
      </rPr>
      <t>Seeing</t>
    </r>
  </si>
  <si>
    <r>
      <rPr>
        <sz val="8"/>
        <rFont val="Gill Sans MT"/>
        <family val="2"/>
      </rPr>
      <t>Walking</t>
    </r>
  </si>
  <si>
    <r>
      <rPr>
        <sz val="8"/>
        <rFont val="Gill Sans MT"/>
        <family val="2"/>
      </rPr>
      <t>Lifting</t>
    </r>
  </si>
  <si>
    <r>
      <rPr>
        <sz val="8"/>
        <rFont val="Gill Sans MT"/>
        <family val="2"/>
      </rPr>
      <t>Cognitive</t>
    </r>
  </si>
  <si>
    <r>
      <rPr>
        <sz val="8"/>
        <rFont val="Gill Sans MT"/>
        <family val="2"/>
      </rPr>
      <t>Both sexes, all fields</t>
    </r>
  </si>
  <si>
    <r>
      <rPr>
        <sz val="8"/>
        <rFont val="Gill Sans MT"/>
        <family val="2"/>
      </rPr>
      <t>Female</t>
    </r>
  </si>
  <si>
    <r>
      <rPr>
        <sz val="8"/>
        <rFont val="Gill Sans MT"/>
        <family val="2"/>
      </rPr>
      <t>Male</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</si>
  <si>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Scientists and engineers are bachelor's and higher degreed individuals living in the United States employed in an S&amp;E occupation.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</si>
  <si>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2-1
</t>
    </r>
    <r>
      <rPr>
        <b/>
        <sz val="9"/>
        <rFont val="Gill Sans MT"/>
        <family val="2"/>
      </rPr>
      <t xml:space="preserve">Employed college graduates, by level of highest degree, major occupation, sex, ethnicity, race, and disability status: 2021
</t>
    </r>
    <r>
      <rPr>
        <sz val="7.5"/>
        <rFont val="Gill Sans MT"/>
        <family val="2"/>
      </rPr>
      <t>(Number)</t>
    </r>
  </si>
  <si>
    <r>
      <rPr>
        <sz val="8"/>
        <rFont val="Gill Sans MT"/>
        <family val="2"/>
      </rPr>
      <t>Level of highest degree and occupation</t>
    </r>
  </si>
  <si>
    <t>P(Female)</t>
  </si>
  <si>
    <t>P(Male)</t>
  </si>
  <si>
    <t>P(Hispanic or Latino)</t>
  </si>
  <si>
    <t>P(American Indian or Alaska Native)</t>
  </si>
  <si>
    <t>P(Asian)</t>
  </si>
  <si>
    <t>P(Black)</t>
  </si>
  <si>
    <t>P(Native Hawaiian or Other Pacific Islander)</t>
  </si>
  <si>
    <t>P(White)</t>
  </si>
  <si>
    <t>P(More than one race)</t>
  </si>
  <si>
    <t>P(Without Disability)</t>
  </si>
  <si>
    <t>P(With Disability)</t>
  </si>
  <si>
    <r>
      <rPr>
        <sz val="8"/>
        <rFont val="Gill Sans MT"/>
        <family val="2"/>
      </rPr>
      <t>Black</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</si>
  <si>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The National Survey of College Graduates asks the degree of difficulty—none, slight, moderate, severe, or unable to do—an individual has in seeing (with glasses), hearing (with hearing
</t>
    </r>
    <r>
      <rPr>
        <sz val="8"/>
        <rFont val="Gill Sans MT"/>
        <family val="2"/>
      </rPr>
      <t xml:space="preserve">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</si>
  <si>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t>P(Female); Unordered</t>
  </si>
  <si>
    <t>P(Male); Unordered</t>
  </si>
  <si>
    <t>P(Hispanic or Latino); Unordered</t>
  </si>
  <si>
    <t>P(American Indian or Alaska Native); Unordered</t>
  </si>
  <si>
    <t>P(Asian); Unordered</t>
  </si>
  <si>
    <t>P(Black); Unordered</t>
  </si>
  <si>
    <t>P(Native Hawaiian or Other Pacific Islander); Unordered</t>
  </si>
  <si>
    <t>P(White); Unordered</t>
  </si>
  <si>
    <t>P(More than one race); Unordered</t>
  </si>
  <si>
    <t>P(Without Disability); Unordered</t>
  </si>
  <si>
    <t>P(With Disability); Unordered</t>
  </si>
  <si>
    <r>
      <rPr>
        <b/>
        <sz val="8"/>
        <color rgb="FF3F3F3F"/>
        <rFont val="Gill Sans MT"/>
        <family val="2"/>
      </rPr>
      <t xml:space="preserve">TABLE 2-2
</t>
    </r>
    <r>
      <rPr>
        <b/>
        <sz val="9"/>
        <rFont val="Gill Sans MT"/>
        <family val="2"/>
      </rPr>
      <t xml:space="preserve">Full-time employed college graduates, by major occupation, age, level of highest degree, and sex: 2021
</t>
    </r>
    <r>
      <rPr>
        <sz val="7.5"/>
        <rFont val="Gill Sans MT"/>
        <family val="2"/>
      </rPr>
      <t>(Number)</t>
    </r>
  </si>
  <si>
    <r>
      <rPr>
        <sz val="8"/>
        <rFont val="Gill Sans MT"/>
        <family val="2"/>
      </rPr>
      <t>Occupation and age</t>
    </r>
  </si>
  <si>
    <t>P(B)</t>
  </si>
  <si>
    <t>P(B F)</t>
  </si>
  <si>
    <t>P(B M)</t>
  </si>
  <si>
    <t>P(M)</t>
  </si>
  <si>
    <t>P(M F)</t>
  </si>
  <si>
    <t>P(M M)</t>
  </si>
  <si>
    <t>P(D)</t>
  </si>
  <si>
    <t>P(D F)</t>
  </si>
  <si>
    <t>P(D M)</t>
  </si>
  <si>
    <r>
      <rPr>
        <sz val="8"/>
        <rFont val="Gill Sans MT"/>
        <family val="2"/>
      </rPr>
      <t>All occupations, all ages</t>
    </r>
  </si>
  <si>
    <r>
      <rPr>
        <sz val="8"/>
        <rFont val="Gill Sans MT"/>
        <family val="2"/>
      </rPr>
      <t>29 and younger</t>
    </r>
  </si>
  <si>
    <r>
      <rPr>
        <sz val="8"/>
        <rFont val="Gill Sans MT"/>
        <family val="2"/>
      </rPr>
      <t>30–39</t>
    </r>
  </si>
  <si>
    <r>
      <rPr>
        <sz val="8"/>
        <rFont val="Gill Sans MT"/>
        <family val="2"/>
      </rPr>
      <t>40–49</t>
    </r>
  </si>
  <si>
    <r>
      <rPr>
        <sz val="8"/>
        <rFont val="Gill Sans MT"/>
        <family val="2"/>
      </rPr>
      <t>50–75</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</si>
  <si>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Full-time employed college graduates are individuals working at least 35 hours in a typical week.
</t>
    </r>
    <r>
      <rPr>
        <b/>
        <sz val="8"/>
        <rFont val="Gill Sans MT"/>
        <family val="2"/>
      </rPr>
      <t xml:space="preserve">Source(s):
</t>
    </r>
    <r>
      <rPr>
        <sz val="8"/>
        <rFont val="Gill Sans MT"/>
        <family val="2"/>
      </rPr>
      <t>National Center for Science and Engineering Statistics, National Survey of College Graduates, 2021.</t>
    </r>
  </si>
  <si>
    <t>Sum(Pos)</t>
  </si>
  <si>
    <t>Sum(Neg)</t>
  </si>
  <si>
    <r>
      <rPr>
        <b/>
        <sz val="8"/>
        <color rgb="FF3F3F3F"/>
        <rFont val="Gill Sans MT"/>
        <family val="2"/>
      </rPr>
      <t xml:space="preserve">TABLE 2-3
</t>
    </r>
    <r>
      <rPr>
        <b/>
        <sz val="9"/>
        <rFont val="Gill Sans MT"/>
        <family val="2"/>
      </rPr>
      <t xml:space="preserve">Full-time employed college graduates, by sex, major occupation, age, ethnicity, race, disability status, and citizenship status: 2021
</t>
    </r>
    <r>
      <rPr>
        <sz val="7.5"/>
        <rFont val="Gill Sans MT"/>
        <family val="2"/>
      </rPr>
      <t>(Number)</t>
    </r>
  </si>
  <si>
    <r>
      <rPr>
        <sz val="8"/>
        <rFont val="Gill Sans MT"/>
        <family val="2"/>
      </rPr>
      <t>Sex, occupation, and age</t>
    </r>
  </si>
  <si>
    <r>
      <rPr>
        <sz val="8"/>
        <rFont val="Gill Sans MT"/>
        <family val="2"/>
      </rPr>
      <t>U.S. citizen</t>
    </r>
  </si>
  <si>
    <r>
      <rPr>
        <sz val="8"/>
        <rFont val="Gill Sans MT"/>
        <family val="2"/>
      </rPr>
      <t>Non-U.S. citizen</t>
    </r>
  </si>
  <si>
    <r>
      <rPr>
        <sz val="8"/>
        <rFont val="Gill Sans MT"/>
        <family val="2"/>
      </rPr>
      <t>Both sexes, all occupations</t>
    </r>
  </si>
  <si>
    <r>
      <rPr>
        <sz val="8"/>
        <rFont val="Gill Sans MT"/>
        <family val="2"/>
      </rPr>
      <t>Female, all occupations</t>
    </r>
  </si>
  <si>
    <r>
      <rPr>
        <sz val="8"/>
        <rFont val="Gill Sans MT"/>
        <family val="2"/>
      </rPr>
      <t>Male, all occupations</t>
    </r>
  </si>
  <si>
    <r>
      <rPr>
        <sz val="8"/>
        <rFont val="Gill Sans MT"/>
        <family val="2"/>
      </rPr>
      <t>S&amp;E = science and engineering.</t>
    </r>
  </si>
  <si>
    <r>
      <rPr>
        <b/>
        <sz val="8"/>
        <rFont val="Gill Sans MT"/>
        <family val="2"/>
      </rPr>
      <t xml:space="preserve">Note(s):
</t>
    </r>
    <r>
      <rPr>
        <sz val="8"/>
        <rFont val="Gill Sans MT"/>
        <family val="2"/>
      </rPr>
      <t xml:space="preserve">Numbers are rounded to the nearest 1,000. Detail may not add to total because of rounding.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</si>
  <si>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2-4
</t>
    </r>
    <r>
      <rPr>
        <b/>
        <sz val="9"/>
        <rFont val="Gill Sans MT"/>
        <family val="2"/>
      </rPr>
      <t xml:space="preserve">Employed college graduates, by minor occupation and major field of highest degree: 2021
</t>
    </r>
    <r>
      <rPr>
        <sz val="7.5"/>
        <rFont val="Gill Sans MT"/>
        <family val="2"/>
      </rPr>
      <t>(Number)</t>
    </r>
  </si>
  <si>
    <r>
      <rPr>
        <sz val="8"/>
        <rFont val="Gill Sans MT"/>
        <family val="2"/>
      </rPr>
      <t>Occupation</t>
    </r>
  </si>
  <si>
    <r>
      <rPr>
        <sz val="8"/>
        <rFont val="Gill Sans MT"/>
        <family val="2"/>
      </rPr>
      <t xml:space="preserve">S&amp;E-
</t>
    </r>
    <r>
      <rPr>
        <sz val="8"/>
        <rFont val="Gill Sans MT"/>
        <family val="2"/>
      </rPr>
      <t>related fields</t>
    </r>
  </si>
  <si>
    <r>
      <rPr>
        <sz val="8"/>
        <rFont val="Gill Sans MT"/>
        <family val="2"/>
      </rPr>
      <t>All college graduates</t>
    </r>
  </si>
  <si>
    <r>
      <rPr>
        <sz val="8"/>
        <rFont val="Gill Sans MT"/>
        <family val="2"/>
      </rPr>
      <t>Agricultural and food scientists</t>
    </r>
  </si>
  <si>
    <r>
      <rPr>
        <sz val="8"/>
        <rFont val="Gill Sans MT"/>
        <family val="2"/>
      </rPr>
      <t>Biological and medical scientists</t>
    </r>
  </si>
  <si>
    <r>
      <rPr>
        <sz val="8"/>
        <rFont val="Gill Sans MT"/>
        <family val="2"/>
      </rPr>
      <t>Environmental life scientists</t>
    </r>
  </si>
  <si>
    <r>
      <rPr>
        <sz val="8"/>
        <rFont val="Gill Sans MT"/>
        <family val="2"/>
      </rPr>
      <t>Postsecondary teachers - life and related sciences</t>
    </r>
  </si>
  <si>
    <r>
      <rPr>
        <sz val="8"/>
        <rFont val="Gill Sans MT"/>
        <family val="2"/>
      </rPr>
      <t>Computer and information scientists</t>
    </r>
  </si>
  <si>
    <r>
      <rPr>
        <sz val="8"/>
        <rFont val="Gill Sans MT"/>
        <family val="2"/>
      </rPr>
      <t>Mathematical scientists</t>
    </r>
  </si>
  <si>
    <r>
      <rPr>
        <sz val="8"/>
        <rFont val="Gill Sans MT"/>
        <family val="2"/>
      </rPr>
      <t>Postsecondary teachers - computer and math sciences</t>
    </r>
  </si>
  <si>
    <r>
      <rPr>
        <sz val="8"/>
        <rFont val="Gill Sans MT"/>
        <family val="2"/>
      </rPr>
      <t>Chemists, except biochemists</t>
    </r>
  </si>
  <si>
    <r>
      <rPr>
        <sz val="8"/>
        <rFont val="Gill Sans MT"/>
        <family val="2"/>
      </rPr>
      <t>Earth, atmospheric, and ocean scientists</t>
    </r>
  </si>
  <si>
    <r>
      <rPr>
        <sz val="8"/>
        <rFont val="Gill Sans MT"/>
        <family val="2"/>
      </rPr>
      <t>Physicists</t>
    </r>
  </si>
  <si>
    <r>
      <rPr>
        <sz val="8"/>
        <rFont val="Gill Sans MT"/>
        <family val="2"/>
      </rPr>
      <t>Other physical and related scientists, including astronomers</t>
    </r>
  </si>
  <si>
    <r>
      <rPr>
        <sz val="8"/>
        <rFont val="Gill Sans MT"/>
        <family val="2"/>
      </rPr>
      <t>Postsecondary teachers - physical and related sciences</t>
    </r>
  </si>
  <si>
    <r>
      <rPr>
        <sz val="8"/>
        <rFont val="Gill Sans MT"/>
        <family val="2"/>
      </rPr>
      <t>Economists</t>
    </r>
  </si>
  <si>
    <r>
      <rPr>
        <sz val="8"/>
        <rFont val="Gill Sans MT"/>
        <family val="2"/>
      </rPr>
      <t>Political scientists</t>
    </r>
  </si>
  <si>
    <r>
      <rPr>
        <sz val="8"/>
        <rFont val="Gill Sans MT"/>
        <family val="2"/>
      </rPr>
      <t>Psychologists</t>
    </r>
  </si>
  <si>
    <r>
      <rPr>
        <sz val="8"/>
        <rFont val="Gill Sans MT"/>
        <family val="2"/>
      </rPr>
      <t>Anthropologists</t>
    </r>
  </si>
  <si>
    <r>
      <rPr>
        <sz val="8"/>
        <rFont val="Gill Sans MT"/>
        <family val="2"/>
      </rPr>
      <t>Other social and related scientists</t>
    </r>
  </si>
  <si>
    <r>
      <rPr>
        <sz val="8"/>
        <rFont val="Gill Sans MT"/>
        <family val="2"/>
      </rPr>
      <t>Postsecondary teachers - social and related sciences</t>
    </r>
  </si>
  <si>
    <r>
      <rPr>
        <sz val="8"/>
        <rFont val="Gill Sans MT"/>
        <family val="2"/>
      </rPr>
      <t>Aerospace, aeronautical, and astronautical engineers</t>
    </r>
  </si>
  <si>
    <r>
      <rPr>
        <sz val="8"/>
        <rFont val="Gill Sans MT"/>
        <family val="2"/>
      </rPr>
      <t>Chemical engineers</t>
    </r>
  </si>
  <si>
    <r>
      <rPr>
        <sz val="8"/>
        <rFont val="Gill Sans MT"/>
        <family val="2"/>
      </rPr>
      <t>Civil, architectural, and sanitary engineers</t>
    </r>
  </si>
  <si>
    <r>
      <rPr>
        <sz val="8"/>
        <rFont val="Gill Sans MT"/>
        <family val="2"/>
      </rPr>
      <t>Electrical and computer hardware engineers</t>
    </r>
  </si>
  <si>
    <r>
      <rPr>
        <sz val="8"/>
        <rFont val="Gill Sans MT"/>
        <family val="2"/>
      </rPr>
      <t>Industrial engineers</t>
    </r>
  </si>
  <si>
    <r>
      <rPr>
        <sz val="8"/>
        <rFont val="Gill Sans MT"/>
        <family val="2"/>
      </rPr>
      <t>Mechanical engineers</t>
    </r>
  </si>
  <si>
    <r>
      <rPr>
        <sz val="8"/>
        <rFont val="Gill Sans MT"/>
        <family val="2"/>
      </rPr>
      <t>Other engineers</t>
    </r>
  </si>
  <si>
    <r>
      <rPr>
        <sz val="8"/>
        <rFont val="Gill Sans MT"/>
        <family val="2"/>
      </rPr>
      <t>Postsecondary teachers - engineering</t>
    </r>
  </si>
  <si>
    <r>
      <rPr>
        <sz val="8"/>
        <rFont val="Gill Sans MT"/>
        <family val="2"/>
      </rPr>
      <t>Health-related occupations</t>
    </r>
  </si>
  <si>
    <r>
      <rPr>
        <sz val="8"/>
        <rFont val="Gill Sans MT"/>
        <family val="2"/>
      </rPr>
      <t>S&amp;E managers</t>
    </r>
  </si>
  <si>
    <r>
      <rPr>
        <sz val="8"/>
        <rFont val="Gill Sans MT"/>
        <family val="2"/>
      </rPr>
      <t>S&amp;E precollege teachers</t>
    </r>
  </si>
  <si>
    <r>
      <rPr>
        <sz val="8"/>
        <rFont val="Gill Sans MT"/>
        <family val="2"/>
      </rPr>
      <t>S&amp;E technicians and technologists</t>
    </r>
  </si>
  <si>
    <r>
      <rPr>
        <sz val="8"/>
        <rFont val="Gill Sans MT"/>
        <family val="2"/>
      </rPr>
      <t>Other S&amp;E-related occupations</t>
    </r>
  </si>
  <si>
    <r>
      <rPr>
        <sz val="8"/>
        <rFont val="Gill Sans MT"/>
        <family val="2"/>
      </rPr>
      <t>Non-S&amp;E managers</t>
    </r>
  </si>
  <si>
    <r>
      <rPr>
        <sz val="8"/>
        <rFont val="Gill Sans MT"/>
        <family val="2"/>
      </rPr>
      <t>Management- related occupations</t>
    </r>
  </si>
  <si>
    <r>
      <rPr>
        <sz val="8"/>
        <rFont val="Gill Sans MT"/>
        <family val="2"/>
      </rPr>
      <t>Non-S&amp;E precollege teachers</t>
    </r>
  </si>
  <si>
    <r>
      <rPr>
        <sz val="8"/>
        <rFont val="Gill Sans MT"/>
        <family val="2"/>
      </rPr>
      <t>Non-S&amp;E postsecondary teachers</t>
    </r>
  </si>
  <si>
    <r>
      <rPr>
        <sz val="8"/>
        <rFont val="Gill Sans MT"/>
        <family val="2"/>
      </rPr>
      <t>Social services and related occupations</t>
    </r>
  </si>
  <si>
    <r>
      <rPr>
        <sz val="8"/>
        <rFont val="Gill Sans MT"/>
        <family val="2"/>
      </rPr>
      <t>Sales and marketing occupations</t>
    </r>
  </si>
  <si>
    <r>
      <rPr>
        <sz val="8"/>
        <rFont val="Gill Sans MT"/>
        <family val="2"/>
      </rPr>
      <t>Art, humanities, and related occupations</t>
    </r>
  </si>
  <si>
    <r>
      <rPr>
        <sz val="8"/>
        <rFont val="Gill Sans MT"/>
        <family val="2"/>
      </rPr>
      <t>Other non-S&amp;E occupations</t>
    </r>
  </si>
  <si>
    <r>
      <rPr>
        <b/>
        <sz val="8"/>
        <color rgb="FF3F3F3F"/>
        <rFont val="Gill Sans MT"/>
        <family val="2"/>
      </rPr>
      <t xml:space="preserve">TABLE 2-5
</t>
    </r>
    <r>
      <rPr>
        <b/>
        <sz val="9"/>
        <rFont val="Gill Sans MT"/>
        <family val="2"/>
      </rPr>
      <t xml:space="preserve">Employed college graduates, by major occupation, sex, ethnicity, race, disability status, and detailed employment sector: 2021
</t>
    </r>
    <r>
      <rPr>
        <sz val="7.5"/>
        <rFont val="Gill Sans MT"/>
        <family val="2"/>
      </rPr>
      <t>(Number)</t>
    </r>
  </si>
  <si>
    <r>
      <rPr>
        <sz val="8"/>
        <rFont val="Gill Sans MT"/>
        <family val="2"/>
      </rPr>
      <t>Occupation, sex, ethnicity, race, and disability status</t>
    </r>
  </si>
  <si>
    <r>
      <rPr>
        <sz val="8"/>
        <rFont val="Gill Sans MT"/>
        <family val="2"/>
      </rPr>
      <t>Business or industry, total</t>
    </r>
  </si>
  <si>
    <r>
      <rPr>
        <sz val="8"/>
        <rFont val="Gill Sans MT"/>
        <family val="2"/>
      </rPr>
      <t>Education, total</t>
    </r>
  </si>
  <si>
    <r>
      <rPr>
        <sz val="8"/>
        <rFont val="Gill Sans MT"/>
        <family val="2"/>
      </rPr>
      <t>Government, total</t>
    </r>
  </si>
  <si>
    <r>
      <rPr>
        <sz val="8"/>
        <rFont val="Gill Sans MT"/>
        <family val="2"/>
      </rPr>
      <t>All occupations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</si>
  <si>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Includes medical schools and university-affiliated research institutes.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t>
    </r>
    <r>
      <rPr>
        <sz val="8"/>
        <rFont val="Gill Sans MT"/>
        <family val="2"/>
      </rPr>
      <t xml:space="preserve">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</si>
  <si>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3-1
</t>
    </r>
    <r>
      <rPr>
        <b/>
        <sz val="9"/>
        <rFont val="Gill Sans MT"/>
        <family val="2"/>
      </rPr>
      <t xml:space="preserve">Employed college graduates, by level of highest degree, minor occupation, and primary work activity: 2021
</t>
    </r>
    <r>
      <rPr>
        <sz val="7.5"/>
        <rFont val="Gill Sans MT"/>
        <family val="2"/>
      </rPr>
      <t>(Number)</t>
    </r>
  </si>
  <si>
    <r>
      <rPr>
        <sz val="8"/>
        <rFont val="Gill Sans MT"/>
        <family val="2"/>
      </rPr>
      <t>Primary work activity</t>
    </r>
  </si>
  <si>
    <r>
      <rPr>
        <sz val="8"/>
        <rFont val="Gill Sans MT"/>
        <family val="2"/>
      </rPr>
      <t>Computer applications</t>
    </r>
  </si>
  <si>
    <r>
      <rPr>
        <sz val="8"/>
        <rFont val="Gill Sans MT"/>
        <family val="2"/>
      </rPr>
      <t>Design</t>
    </r>
  </si>
  <si>
    <r>
      <rPr>
        <sz val="8"/>
        <rFont val="Gill Sans MT"/>
        <family val="2"/>
      </rPr>
      <t>Management and administration</t>
    </r>
    <r>
      <rPr>
        <vertAlign val="superscript"/>
        <sz val="7"/>
        <rFont val="Gill Sans MT"/>
        <family val="2"/>
      </rPr>
      <t>a</t>
    </r>
  </si>
  <si>
    <r>
      <rPr>
        <sz val="8"/>
        <rFont val="Gill Sans MT"/>
        <family val="2"/>
      </rPr>
      <t>Research and development</t>
    </r>
    <r>
      <rPr>
        <vertAlign val="superscript"/>
        <sz val="7"/>
        <rFont val="Gill Sans MT"/>
        <family val="2"/>
      </rPr>
      <t>b</t>
    </r>
  </si>
  <si>
    <r>
      <rPr>
        <sz val="8"/>
        <rFont val="Gill Sans MT"/>
        <family val="2"/>
      </rPr>
      <t>Teaching</t>
    </r>
  </si>
  <si>
    <r>
      <rPr>
        <sz val="8"/>
        <rFont val="Gill Sans MT"/>
        <family val="2"/>
      </rPr>
      <t>Other</t>
    </r>
    <r>
      <rPr>
        <vertAlign val="superscript"/>
        <sz val="7"/>
        <rFont val="Gill Sans MT"/>
        <family val="2"/>
      </rPr>
      <t>c</t>
    </r>
  </si>
  <si>
    <t>P(Computer applications)</t>
  </si>
  <si>
    <t>P(Design)</t>
  </si>
  <si>
    <t>P(Management and administration)</t>
  </si>
  <si>
    <t>P(Research and development)</t>
  </si>
  <si>
    <t>P(Teaching)</t>
  </si>
  <si>
    <t>P(Other)</t>
  </si>
  <si>
    <r>
      <rPr>
        <sz val="8"/>
        <rFont val="Gill Sans MT"/>
        <family val="2"/>
      </rPr>
      <t>All degree levels</t>
    </r>
  </si>
  <si>
    <t>S&amp;E occupations</t>
  </si>
  <si>
    <t>Biological, agricultural, and other life scientists</t>
  </si>
  <si>
    <r>
      <rPr>
        <sz val="8"/>
        <rFont val="Gill Sans MT"/>
        <family val="2"/>
      </rPr>
      <t>Management-related occupations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</si>
  <si>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</si>
  <si>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3-2
</t>
    </r>
    <r>
      <rPr>
        <b/>
        <sz val="9"/>
        <rFont val="Gill Sans MT"/>
        <family val="2"/>
      </rPr>
      <t xml:space="preserve">Employed college graduates, by employment sector, minor occupation, and job satisfaction: 2021
</t>
    </r>
    <r>
      <rPr>
        <sz val="7.5"/>
        <rFont val="Gill Sans MT"/>
        <family val="2"/>
      </rPr>
      <t>(Number)</t>
    </r>
  </si>
  <si>
    <r>
      <rPr>
        <sz val="8"/>
        <rFont val="Gill Sans MT"/>
        <family val="2"/>
      </rPr>
      <t>Sector and occupation</t>
    </r>
  </si>
  <si>
    <r>
      <rPr>
        <sz val="8"/>
        <rFont val="Gill Sans MT"/>
        <family val="2"/>
      </rPr>
      <t>Job satisfaction</t>
    </r>
  </si>
  <si>
    <r>
      <rPr>
        <sz val="8"/>
        <rFont val="Gill Sans MT"/>
        <family val="2"/>
      </rPr>
      <t>Very satisfied</t>
    </r>
  </si>
  <si>
    <r>
      <rPr>
        <sz val="8"/>
        <rFont val="Gill Sans MT"/>
        <family val="2"/>
      </rPr>
      <t>Somewhat satisfied</t>
    </r>
  </si>
  <si>
    <r>
      <rPr>
        <sz val="8"/>
        <rFont val="Gill Sans MT"/>
        <family val="2"/>
      </rPr>
      <t>Somewhat dissatisfied</t>
    </r>
  </si>
  <si>
    <r>
      <rPr>
        <sz val="8"/>
        <rFont val="Gill Sans MT"/>
        <family val="2"/>
      </rPr>
      <t>Very dissatisfied</t>
    </r>
  </si>
  <si>
    <r>
      <rPr>
        <sz val="8"/>
        <rFont val="Gill Sans MT"/>
        <family val="2"/>
      </rPr>
      <t>All sectors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</si>
  <si>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Business or industry includes self-employed individuals, nonprofit organizations, and other unspecified types of employers. Education includes 4-year colleges and universities, medical schools, university- affiliated research institutes, 2-year colleges, pre-college institutions, and other educational institutions. Government includes federal (civilian), military, state, and local employers.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</si>
  <si>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3-3
</t>
    </r>
    <r>
      <rPr>
        <b/>
        <sz val="9"/>
        <rFont val="Gill Sans MT"/>
        <family val="2"/>
      </rPr>
      <t xml:space="preserve">Employed college graduates, by sex, major occupation, job satisfaction, and primary work activity: 2021
</t>
    </r>
    <r>
      <rPr>
        <sz val="7.5"/>
        <rFont val="Gill Sans MT"/>
        <family val="2"/>
      </rPr>
      <t>(Number)</t>
    </r>
  </si>
  <si>
    <r>
      <rPr>
        <sz val="8"/>
        <rFont val="Gill Sans MT"/>
        <family val="2"/>
      </rPr>
      <t>Sex, occupation, and job satisfaction</t>
    </r>
  </si>
  <si>
    <r>
      <rPr>
        <sz val="8"/>
        <rFont val="Gill Sans MT"/>
        <family val="2"/>
      </rPr>
      <t>All sexes</t>
    </r>
  </si>
  <si>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</si>
  <si>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3-4
</t>
    </r>
    <r>
      <rPr>
        <b/>
        <sz val="9"/>
        <rFont val="Gill Sans MT"/>
        <family val="2"/>
      </rPr>
      <t xml:space="preserve">Employed college graduates, by sex, major occupation, job satisfaction, and years since highest degree: 2021
</t>
    </r>
    <r>
      <rPr>
        <sz val="7.5"/>
        <rFont val="Gill Sans MT"/>
        <family val="2"/>
      </rPr>
      <t>(Number)</t>
    </r>
  </si>
  <si>
    <r>
      <rPr>
        <sz val="8"/>
        <rFont val="Gill Sans MT"/>
        <family val="2"/>
      </rPr>
      <t>Years since highest degree</t>
    </r>
  </si>
  <si>
    <r>
      <rPr>
        <sz val="8"/>
        <rFont val="Gill Sans MT"/>
        <family val="2"/>
      </rPr>
      <t>&lt; 5</t>
    </r>
  </si>
  <si>
    <r>
      <rPr>
        <sz val="8"/>
        <rFont val="Trebuchet MS"/>
        <family val="2"/>
      </rPr>
      <t>5–9</t>
    </r>
  </si>
  <si>
    <r>
      <rPr>
        <sz val="8"/>
        <rFont val="Trebuchet MS"/>
        <family val="2"/>
      </rPr>
      <t>10–14</t>
    </r>
  </si>
  <si>
    <r>
      <rPr>
        <sz val="8"/>
        <rFont val="Trebuchet MS"/>
        <family val="2"/>
      </rPr>
      <t>15–19</t>
    </r>
  </si>
  <si>
    <r>
      <rPr>
        <sz val="8"/>
        <rFont val="Trebuchet MS"/>
        <family val="2"/>
      </rPr>
      <t>20–24</t>
    </r>
  </si>
  <si>
    <r>
      <rPr>
        <sz val="8"/>
        <rFont val="Trebuchet MS"/>
        <family val="2"/>
      </rPr>
      <t>25–29</t>
    </r>
  </si>
  <si>
    <r>
      <rPr>
        <sz val="8"/>
        <rFont val="Trebuchet MS"/>
        <family val="2"/>
      </rPr>
      <t>30–34</t>
    </r>
  </si>
  <si>
    <r>
      <rPr>
        <sz val="8"/>
        <rFont val="Trebuchet MS"/>
        <family val="2"/>
      </rPr>
      <t>≥ 35</t>
    </r>
  </si>
  <si>
    <r>
      <rPr>
        <b/>
        <sz val="8"/>
        <color rgb="FF3F3F3F"/>
        <rFont val="Gill Sans MT"/>
        <family val="2"/>
      </rPr>
      <t xml:space="preserve">TABLE 4-1
</t>
    </r>
    <r>
      <rPr>
        <b/>
        <sz val="9"/>
        <rFont val="Gill Sans MT"/>
        <family val="2"/>
      </rPr>
      <t xml:space="preserve">Median annual salaries of full-time employed college graduates, by major occupation, age, level of highest degree, and sex: 2021
</t>
    </r>
    <r>
      <rPr>
        <sz val="7.5"/>
        <rFont val="Gill Sans MT"/>
        <family val="2"/>
      </rPr>
      <t>(Dollars)</t>
    </r>
  </si>
  <si>
    <r>
      <rPr>
        <sz val="8"/>
        <rFont val="Gill Sans MT"/>
        <family val="2"/>
      </rPr>
      <t xml:space="preserve">S&amp;E = science and engineering.
</t>
    </r>
    <r>
      <rPr>
        <b/>
        <sz val="8"/>
        <rFont val="Gill Sans MT"/>
        <family val="2"/>
      </rPr>
      <t xml:space="preserve">Note(s):
</t>
    </r>
    <r>
      <rPr>
        <sz val="8"/>
        <rFont val="Gill Sans MT"/>
        <family val="2"/>
      </rPr>
      <t xml:space="preserve">Median annual salaries are rounded to the nearest $1,000. Full-time employed college graduates are individuals working at least 35 hours in a typical week.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</si>
  <si>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4-2
</t>
    </r>
    <r>
      <rPr>
        <b/>
        <sz val="9"/>
        <rFont val="Gill Sans MT"/>
        <family val="2"/>
      </rPr>
      <t xml:space="preserve">Median annual salaries of full-time employed college graduates, by sex, major occupation, age, ethnicity, race, disability status, and citizenship status: 2021
</t>
    </r>
    <r>
      <rPr>
        <sz val="7.5"/>
        <rFont val="Gill Sans MT"/>
        <family val="2"/>
      </rPr>
      <t>(Dollars)</t>
    </r>
  </si>
  <si>
    <r>
      <rPr>
        <sz val="8"/>
        <rFont val="Gill Sans MT"/>
        <family val="2"/>
      </rPr>
      <t xml:space="preserve">U.S.
</t>
    </r>
    <r>
      <rPr>
        <sz val="8"/>
        <rFont val="Gill Sans MT"/>
        <family val="2"/>
      </rPr>
      <t>citizen</t>
    </r>
  </si>
  <si>
    <r>
      <rPr>
        <sz val="8"/>
        <rFont val="Gill Sans MT"/>
        <family val="2"/>
      </rPr>
      <t xml:space="preserve">Non- U.S.
</t>
    </r>
    <r>
      <rPr>
        <sz val="8"/>
        <rFont val="Gill Sans MT"/>
        <family val="2"/>
      </rPr>
      <t>citizen</t>
    </r>
  </si>
  <si>
    <r>
      <rPr>
        <sz val="8"/>
        <rFont val="Gill Sans MT"/>
        <family val="2"/>
      </rPr>
      <t xml:space="preserve">S&amp;E = science and engineering.
</t>
    </r>
    <r>
      <rPr>
        <b/>
        <sz val="8"/>
        <rFont val="Gill Sans MT"/>
        <family val="2"/>
      </rPr>
      <t xml:space="preserve">Note(s):
</t>
    </r>
    <r>
      <rPr>
        <sz val="8"/>
        <rFont val="Gill Sans MT"/>
        <family val="2"/>
      </rPr>
      <t xml:space="preserve">Median annual salaries are rounded to the nearest $1,000.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</si>
  <si>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4-3
</t>
    </r>
    <r>
      <rPr>
        <b/>
        <sz val="9"/>
        <rFont val="Gill Sans MT"/>
        <family val="2"/>
      </rPr>
      <t xml:space="preserve">Employment counts and median annual salaries of full-time employed scientists and engineers, by major field of highest degree, employment sector, and primary work activity: 2021
</t>
    </r>
    <r>
      <rPr>
        <sz val="7.5"/>
        <rFont val="Gill Sans MT"/>
        <family val="2"/>
      </rPr>
      <t>(Number and dollars)</t>
    </r>
  </si>
  <si>
    <r>
      <rPr>
        <sz val="8"/>
        <rFont val="Gill Sans MT"/>
        <family val="2"/>
      </rPr>
      <t>Field of highest degree and employment sector</t>
    </r>
  </si>
  <si>
    <r>
      <rPr>
        <sz val="8"/>
        <rFont val="Gill Sans MT"/>
        <family val="2"/>
      </rPr>
      <t>Number</t>
    </r>
  </si>
  <si>
    <r>
      <rPr>
        <sz val="8"/>
        <rFont val="Gill Sans MT"/>
        <family val="2"/>
      </rPr>
      <t>Salary</t>
    </r>
  </si>
  <si>
    <r>
      <rPr>
        <sz val="8"/>
        <rFont val="Gill Sans MT"/>
        <family val="2"/>
      </rPr>
      <t>All fields</t>
    </r>
  </si>
  <si>
    <r>
      <rPr>
        <sz val="8"/>
        <rFont val="Gill Sans MT"/>
        <family val="2"/>
      </rPr>
      <t>4-year educational institution</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</si>
  <si>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Management and administration includes respondents who reported the following work activities: accounting, finance, or contracts; human resources; quality or productivity management; sales and marketing; or managing and supervising.
</t>
    </r>
    <r>
      <rPr>
        <vertAlign val="superscript"/>
        <sz val="7"/>
        <rFont val="Gill Sans MT"/>
        <family val="2"/>
      </rPr>
      <t xml:space="preserve">b </t>
    </r>
    <r>
      <rPr>
        <sz val="8"/>
        <rFont val="Gill Sans MT"/>
        <family val="2"/>
      </rPr>
      <t xml:space="preserve">Research and development includes basic research, applied research, or development.
</t>
    </r>
    <r>
      <rPr>
        <vertAlign val="superscript"/>
        <sz val="7"/>
        <rFont val="Gill Sans MT"/>
        <family val="2"/>
      </rPr>
      <t xml:space="preserve">c </t>
    </r>
    <r>
      <rPr>
        <sz val="8"/>
        <rFont val="Gill Sans MT"/>
        <family val="2"/>
      </rPr>
      <t xml:space="preserve">Other work activities includes production, operations, maintenance, professional services, and other activities not broken out separately. "Design" is no longer included in the definition of "Other" and is now its own category.
</t>
    </r>
    <r>
      <rPr>
        <b/>
        <sz val="8"/>
        <rFont val="Gill Sans MT"/>
        <family val="2"/>
      </rPr>
      <t xml:space="preserve">Note(s):
</t>
    </r>
    <r>
      <rPr>
        <sz val="8"/>
        <rFont val="Gill Sans MT"/>
        <family val="2"/>
      </rPr>
      <t xml:space="preserve">Population counts are rounded to the nearest 1,000. Detail may not add to total because of rounding. Median annual salaries are rounded to the nearest $1,000. Scientists and engineers are bachelor's and higher degreed individuals living in the United States employed in an S&amp;E occupation. Four-year educational institution includes medical schools and university-affiliated research institutes. Government includes federal (civilian), military, state, and local employers.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</si>
  <si>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5-1
</t>
    </r>
    <r>
      <rPr>
        <b/>
        <sz val="9"/>
        <rFont val="Gill Sans MT"/>
        <family val="2"/>
      </rPr>
      <t xml:space="preserve">College graduates, by age, sex, ethnicity, race, disability status, and age at onset of disability, broad occupation, labor force status, and median annual salary: 2021
</t>
    </r>
    <r>
      <rPr>
        <sz val="7.5"/>
        <rFont val="Gill Sans MT"/>
        <family val="2"/>
      </rPr>
      <t>(Number and dollars)</t>
    </r>
  </si>
  <si>
    <r>
      <rPr>
        <sz val="8"/>
        <rFont val="Gill Sans MT"/>
        <family val="2"/>
      </rPr>
      <t>Age, sex, ethnicity, race, disability status, and age at onset of disability</t>
    </r>
  </si>
  <si>
    <r>
      <rPr>
        <sz val="8"/>
        <rFont val="Gill Sans MT"/>
        <family val="2"/>
      </rPr>
      <t>Employed in all occupations</t>
    </r>
  </si>
  <si>
    <r>
      <rPr>
        <sz val="8"/>
        <rFont val="Gill Sans MT"/>
        <family val="2"/>
      </rPr>
      <t>Employed in S&amp;E occupations</t>
    </r>
  </si>
  <si>
    <r>
      <rPr>
        <sz val="8"/>
        <rFont val="Gill Sans MT"/>
        <family val="2"/>
      </rPr>
      <t>Employed in S&amp;E-related occupations</t>
    </r>
  </si>
  <si>
    <r>
      <rPr>
        <sz val="8"/>
        <rFont val="Gill Sans MT"/>
        <family val="2"/>
      </rPr>
      <t>Employed in non-S&amp;E occupations</t>
    </r>
  </si>
  <si>
    <r>
      <rPr>
        <sz val="8"/>
        <rFont val="Gill Sans MT"/>
        <family val="2"/>
      </rPr>
      <t>Full-time employed median annual salary ($)</t>
    </r>
  </si>
  <si>
    <r>
      <rPr>
        <sz val="8"/>
        <rFont val="Gill Sans MT"/>
        <family val="2"/>
      </rPr>
      <t>Full time</t>
    </r>
  </si>
  <si>
    <r>
      <rPr>
        <sz val="8"/>
        <rFont val="Gill Sans MT"/>
        <family val="2"/>
      </rPr>
      <t>Part time</t>
    </r>
  </si>
  <si>
    <r>
      <rPr>
        <sz val="8"/>
        <rFont val="Gill Sans MT"/>
        <family val="2"/>
      </rPr>
      <t>Student</t>
    </r>
  </si>
  <si>
    <r>
      <rPr>
        <sz val="8"/>
        <rFont val="Gill Sans MT"/>
        <family val="2"/>
      </rPr>
      <t>Retired</t>
    </r>
  </si>
  <si>
    <r>
      <rPr>
        <sz val="8"/>
        <rFont val="Gill Sans MT"/>
        <family val="2"/>
      </rPr>
      <t>Not seeking employment, all other reasons</t>
    </r>
  </si>
  <si>
    <r>
      <rPr>
        <sz val="8"/>
        <rFont val="Gill Sans MT"/>
        <family val="2"/>
      </rPr>
      <t>75 and younger</t>
    </r>
  </si>
  <si>
    <r>
      <rPr>
        <sz val="8"/>
        <rFont val="Gill Sans MT"/>
        <family val="2"/>
      </rPr>
      <t>Age at onset of disability</t>
    </r>
  </si>
  <si>
    <r>
      <rPr>
        <sz val="8"/>
        <rFont val="Gill Sans MT"/>
        <family val="2"/>
      </rPr>
      <t>Since birth</t>
    </r>
  </si>
  <si>
    <r>
      <rPr>
        <sz val="8"/>
        <rFont val="Gill Sans MT"/>
        <family val="2"/>
      </rPr>
      <t>1–9</t>
    </r>
  </si>
  <si>
    <r>
      <rPr>
        <sz val="8"/>
        <rFont val="Gill Sans MT"/>
        <family val="2"/>
      </rPr>
      <t>10–19</t>
    </r>
  </si>
  <si>
    <r>
      <rPr>
        <sz val="8"/>
        <rFont val="Gill Sans MT"/>
        <family val="2"/>
      </rPr>
      <t>20–29</t>
    </r>
  </si>
  <si>
    <r>
      <rPr>
        <sz val="8"/>
        <rFont val="Gill Sans MT"/>
        <family val="2"/>
      </rPr>
      <t>50–59</t>
    </r>
  </si>
  <si>
    <r>
      <rPr>
        <sz val="8"/>
        <rFont val="Gill Sans MT"/>
        <family val="2"/>
      </rPr>
      <t>60–75</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</si>
  <si>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Unemployed includes individuals who were not working during the survey reference week but had been seeking work in the prior 4 weeks or who were on layoff from their job.
</t>
    </r>
    <r>
      <rPr>
        <vertAlign val="superscript"/>
        <sz val="7"/>
        <rFont val="Gill Sans MT"/>
        <family val="2"/>
      </rPr>
      <t xml:space="preserve">b </t>
    </r>
    <r>
      <rPr>
        <sz val="8"/>
        <rFont val="Gill Sans MT"/>
        <family val="2"/>
      </rPr>
      <t xml:space="preserve">Not in the labor force includes individuals who were not working during the survey reference week and had not been seeking work in the prior 4 weeks because of family responsibilities, chronic illness, or other reasons.
</t>
    </r>
    <r>
      <rPr>
        <b/>
        <sz val="8"/>
        <rFont val="Gill Sans MT"/>
        <family val="2"/>
      </rPr>
      <t xml:space="preserve">Note(s):
</t>
    </r>
    <r>
      <rPr>
        <sz val="8"/>
        <rFont val="Gill Sans MT"/>
        <family val="2"/>
      </rPr>
      <t xml:space="preserve">Numbers are rounded to the nearest 1,000. Detail may not add to total because of rounding. Median annual salaries are rounded to the nearest $1,000. Full-time employed college graduates are individuals working at least 35 hours in a typical week. Hispanic or Latino may be any race; race categories exclude Hispanic origin. The National Survey of College Graduates asks the degree of difficulty—none, slight, moderate, severe, or unable to do—an individual has in seeing (with glasses), hearing
</t>
    </r>
    <r>
      <rPr>
        <sz val="8"/>
        <rFont val="Gill Sans MT"/>
        <family val="2"/>
      </rPr>
      <t xml:space="preserve">(with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</si>
  <si>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5-2
</t>
    </r>
    <r>
      <rPr>
        <b/>
        <sz val="9"/>
        <rFont val="Gill Sans MT"/>
        <family val="2"/>
      </rPr>
      <t xml:space="preserve">College graduates, by broad occupation, labor force status, labor force status characteristics, sex, ethnicity, race, and disability status: 2021
</t>
    </r>
    <r>
      <rPr>
        <sz val="7.5"/>
        <rFont val="Gill Sans MT"/>
        <family val="2"/>
      </rPr>
      <t>(Number)</t>
    </r>
  </si>
  <si>
    <r>
      <rPr>
        <sz val="8"/>
        <rFont val="Gill Sans MT"/>
        <family val="2"/>
      </rPr>
      <t>Occupation, labor force status, and labor force status characteristics</t>
    </r>
  </si>
  <si>
    <r>
      <rPr>
        <sz val="8"/>
        <rFont val="Gill Sans MT"/>
        <family val="2"/>
      </rPr>
      <t>Full-time employment status</t>
    </r>
  </si>
  <si>
    <r>
      <rPr>
        <sz val="8"/>
        <rFont val="Gill Sans MT"/>
        <family val="2"/>
      </rPr>
      <t>Part-time employment status</t>
    </r>
  </si>
  <si>
    <r>
      <rPr>
        <sz val="8"/>
        <rFont val="Gill Sans MT"/>
        <family val="2"/>
      </rPr>
      <t>Preference for full-time status</t>
    </r>
  </si>
  <si>
    <r>
      <rPr>
        <sz val="8"/>
        <rFont val="Gill Sans MT"/>
        <family val="2"/>
      </rPr>
      <t>Did not want full-time employment</t>
    </r>
  </si>
  <si>
    <r>
      <rPr>
        <sz val="8"/>
        <rFont val="Gill Sans MT"/>
        <family val="2"/>
      </rPr>
      <t>Wanted full-time employment</t>
    </r>
  </si>
  <si>
    <r>
      <rPr>
        <sz val="8"/>
        <rFont val="Gill Sans MT"/>
        <family val="2"/>
      </rPr>
      <t>Reason for part-time status</t>
    </r>
  </si>
  <si>
    <r>
      <rPr>
        <sz val="8"/>
        <rFont val="Gill Sans MT"/>
        <family val="2"/>
      </rPr>
      <t>Reason worked part time: did not need or want to work more hours</t>
    </r>
  </si>
  <si>
    <r>
      <rPr>
        <sz val="8"/>
        <rFont val="Gill Sans MT"/>
        <family val="2"/>
      </rPr>
      <t>Reason worked part time: family responsibilities</t>
    </r>
  </si>
  <si>
    <r>
      <rPr>
        <sz val="8"/>
        <rFont val="Gill Sans MT"/>
        <family val="2"/>
      </rPr>
      <t>Due to the coronavirus pandemic only</t>
    </r>
  </si>
  <si>
    <r>
      <rPr>
        <sz val="8"/>
        <rFont val="Gill Sans MT"/>
        <family val="2"/>
      </rPr>
      <t>Unrelated to the coronavirus pandemic only</t>
    </r>
  </si>
  <si>
    <r>
      <rPr>
        <sz val="8"/>
        <rFont val="Gill Sans MT"/>
        <family val="2"/>
      </rPr>
      <t>Reason worked part time: full-time job not available</t>
    </r>
  </si>
  <si>
    <r>
      <rPr>
        <sz val="8"/>
        <rFont val="Gill Sans MT"/>
        <family val="2"/>
      </rPr>
      <t>Reason worked part time: held another job</t>
    </r>
  </si>
  <si>
    <r>
      <rPr>
        <sz val="8"/>
        <rFont val="Gill Sans MT"/>
        <family val="2"/>
      </rPr>
      <t>Reason worked part time: hours or work reduced</t>
    </r>
  </si>
  <si>
    <r>
      <rPr>
        <sz val="8"/>
        <rFont val="Gill Sans MT"/>
        <family val="2"/>
      </rPr>
      <t>Reason worked part time: previously retired or semiretired</t>
    </r>
  </si>
  <si>
    <r>
      <rPr>
        <sz val="8"/>
        <rFont val="Gill Sans MT"/>
        <family val="2"/>
      </rPr>
      <t>Reason worked part time: student</t>
    </r>
  </si>
  <si>
    <r>
      <rPr>
        <sz val="8"/>
        <rFont val="Gill Sans MT"/>
        <family val="2"/>
      </rPr>
      <t>Reason worked part time: other</t>
    </r>
  </si>
  <si>
    <r>
      <rPr>
        <sz val="8"/>
        <rFont val="Gill Sans MT"/>
        <family val="2"/>
      </rPr>
      <t>Not working, not looking for work</t>
    </r>
  </si>
  <si>
    <r>
      <rPr>
        <sz val="8"/>
        <rFont val="Gill Sans MT"/>
        <family val="2"/>
      </rPr>
      <t>Not working, looking for work</t>
    </r>
  </si>
  <si>
    <r>
      <rPr>
        <sz val="8"/>
        <rFont val="Gill Sans MT"/>
        <family val="2"/>
      </rPr>
      <t>Reason for not working</t>
    </r>
  </si>
  <si>
    <r>
      <rPr>
        <sz val="8"/>
        <rFont val="Gill Sans MT"/>
        <family val="2"/>
      </rPr>
      <t>Reason for not working: illness or disability</t>
    </r>
  </si>
  <si>
    <r>
      <rPr>
        <sz val="8"/>
        <rFont val="Gill Sans MT"/>
        <family val="2"/>
      </rPr>
      <t>Reason for not working: did not need or want to work</t>
    </r>
  </si>
  <si>
    <r>
      <rPr>
        <sz val="8"/>
        <rFont val="Gill Sans MT"/>
        <family val="2"/>
      </rPr>
      <t>Reason for not working: family responsibilities</t>
    </r>
  </si>
  <si>
    <r>
      <rPr>
        <sz val="8"/>
        <rFont val="Gill Sans MT"/>
        <family val="2"/>
      </rPr>
      <t>Reason for not working: layoff from a job</t>
    </r>
  </si>
  <si>
    <r>
      <rPr>
        <sz val="8"/>
        <rFont val="Gill Sans MT"/>
        <family val="2"/>
      </rPr>
      <t>Reason for not working: retired</t>
    </r>
  </si>
  <si>
    <r>
      <rPr>
        <sz val="8"/>
        <rFont val="Gill Sans MT"/>
        <family val="2"/>
      </rPr>
      <t>Reason for not working: student</t>
    </r>
  </si>
  <si>
    <r>
      <rPr>
        <sz val="8"/>
        <rFont val="Gill Sans MT"/>
        <family val="2"/>
      </rPr>
      <t>Reason for not working: suitable job not available</t>
    </r>
  </si>
  <si>
    <r>
      <rPr>
        <sz val="8"/>
        <rFont val="Gill Sans MT"/>
        <family val="2"/>
      </rPr>
      <t>Reason for not working: other</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</si>
  <si>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This table does not include individuals who have never worked for pay or profit. If respondent was not employed during survey reference period, occupation when last employed was reported. All individuals who report working part time, regardless of their preference for working part time, are asked their reasons for working part time. Full-time employed college graduates are individuals working at least 35 hours in a typical week. All individuals who report not working, regardless of if they are looking for work, are asked their reasons for not working. Hispanic or Latino may be any race; race categories exclude Hispanic origin. The National Survey of College Graduates asks the degree of difficulty—none, slight, moderate, severe, or unable to do—an individual has in seeing (with glasses), hearing (with hearing aid), walking without assistance, lifting 10 pounds, or concentrating, remembering, or making decisions. Those respondents who answered "moderate," "severe," or "unable to do" for an activity were classified as having a disability.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</si>
  <si>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2-6
</t>
    </r>
    <r>
      <rPr>
        <b/>
        <sz val="9"/>
        <rFont val="Gill Sans MT"/>
        <family val="2"/>
      </rPr>
      <t xml:space="preserve">Employed college graduates, by level of highest degree, major occupation, possession of a certification or license, and primary field of certification or license: 2021
</t>
    </r>
    <r>
      <rPr>
        <sz val="7.5"/>
        <rFont val="Gill Sans MT"/>
        <family val="2"/>
      </rPr>
      <t>(Number)</t>
    </r>
  </si>
  <si>
    <r>
      <rPr>
        <sz val="8"/>
        <rFont val="Gill Sans MT"/>
        <family val="2"/>
      </rPr>
      <t>Obtained a certification or license for work-related reasons</t>
    </r>
  </si>
  <si>
    <r>
      <rPr>
        <sz val="8"/>
        <rFont val="Gill Sans MT"/>
        <family val="2"/>
      </rPr>
      <t>Primary field of certification or license</t>
    </r>
  </si>
  <si>
    <t>P(Obtained Cert/License for Work-Related Reasons)</t>
  </si>
  <si>
    <t>P(Not for Work Related Reasons)</t>
  </si>
  <si>
    <t>P(Computer applications and design)</t>
  </si>
  <si>
    <t>P(Computer networking, administration, and security)</t>
  </si>
  <si>
    <t>P(Other information technologies and computers)</t>
  </si>
  <si>
    <t>P(Mathematics, statistics, and data analytics)</t>
  </si>
  <si>
    <t>P(Life sciences)</t>
  </si>
  <si>
    <t>P(Physical sciences)</t>
  </si>
  <si>
    <t>P(Social sciences)</t>
  </si>
  <si>
    <t>P(Engineering)</t>
  </si>
  <si>
    <t>P(S&amp;E-related)</t>
  </si>
  <si>
    <t>P(Non-S&amp;E)</t>
  </si>
  <si>
    <t>P(Uncodable or missing)</t>
  </si>
  <si>
    <t>Avg Cost</t>
  </si>
  <si>
    <t>Computer applications and design</t>
  </si>
  <si>
    <r>
      <rPr>
        <sz val="8"/>
        <rFont val="Gill Sans MT"/>
        <family val="2"/>
      </rPr>
      <t>Computer networking, administration, and security</t>
    </r>
  </si>
  <si>
    <r>
      <rPr>
        <sz val="8"/>
        <rFont val="Gill Sans MT"/>
        <family val="2"/>
      </rPr>
      <t>Other information technologies and computers</t>
    </r>
  </si>
  <si>
    <r>
      <rPr>
        <sz val="8"/>
        <rFont val="Gill Sans MT"/>
        <family val="2"/>
      </rPr>
      <t>Mathematics, statistics, and data analytics</t>
    </r>
  </si>
  <si>
    <r>
      <rPr>
        <sz val="8"/>
        <rFont val="Gill Sans MT"/>
        <family val="2"/>
      </rPr>
      <t>Life sciences</t>
    </r>
  </si>
  <si>
    <r>
      <rPr>
        <sz val="8"/>
        <rFont val="Gill Sans MT"/>
        <family val="2"/>
      </rPr>
      <t>Physical sciences</t>
    </r>
  </si>
  <si>
    <r>
      <rPr>
        <sz val="8"/>
        <rFont val="Gill Sans MT"/>
        <family val="2"/>
      </rPr>
      <t>Social sciences</t>
    </r>
  </si>
  <si>
    <r>
      <rPr>
        <sz val="8"/>
        <rFont val="Gill Sans MT"/>
        <family val="2"/>
      </rPr>
      <t>S&amp;E-related</t>
    </r>
  </si>
  <si>
    <r>
      <rPr>
        <sz val="8"/>
        <rFont val="Gill Sans MT"/>
        <family val="2"/>
      </rPr>
      <t>Non-S&amp;E</t>
    </r>
  </si>
  <si>
    <r>
      <rPr>
        <sz val="8"/>
        <rFont val="Gill Sans MT"/>
        <family val="2"/>
      </rPr>
      <t>Uncodable or missing</t>
    </r>
  </si>
  <si>
    <t>1,200-500</t>
  </si>
  <si>
    <t>3,078-29,220</t>
  </si>
  <si>
    <t>40-60</t>
  </si>
  <si>
    <t>1,200-5000</t>
  </si>
  <si>
    <t>150-400</t>
  </si>
  <si>
    <t>N/A</t>
  </si>
  <si>
    <t>1200-5000</t>
  </si>
  <si>
    <t>1200- 5000</t>
  </si>
  <si>
    <t>Table 4-1</t>
  </si>
  <si>
    <t>Median annual salaries of full-time employed college graduates, by major occupation, age, level of highest degree, and sex: 2021</t>
  </si>
  <si>
    <t>(Dollars)</t>
  </si>
  <si>
    <r>
      <rPr>
        <b/>
        <sz val="8"/>
        <color indexed="0"/>
        <rFont val="Arial"/>
        <family val="2"/>
      </rPr>
      <t>Occupation and age</t>
    </r>
  </si>
  <si>
    <r>
      <rPr>
        <b/>
        <sz val="8"/>
        <color indexed="0"/>
        <rFont val="Arial"/>
        <family val="2"/>
      </rPr>
      <t>All degrees</t>
    </r>
  </si>
  <si>
    <r>
      <rPr>
        <b/>
        <sz val="8"/>
        <color indexed="0"/>
        <rFont val="Arial"/>
        <family val="2"/>
      </rPr>
      <t>Bachelor's</t>
    </r>
  </si>
  <si>
    <r>
      <rPr>
        <b/>
        <sz val="8"/>
        <color indexed="0"/>
        <rFont val="Arial"/>
        <family val="2"/>
      </rPr>
      <t>Master's</t>
    </r>
  </si>
  <si>
    <r>
      <rPr>
        <b/>
        <sz val="8"/>
        <color indexed="0"/>
        <rFont val="Arial"/>
        <family val="2"/>
      </rPr>
      <t>Doctorate</t>
    </r>
  </si>
  <si>
    <r>
      <rPr>
        <b/>
        <sz val="8"/>
        <color indexed="0"/>
        <rFont val="Arial"/>
        <family val="2"/>
      </rPr>
      <t>Professional</t>
    </r>
  </si>
  <si>
    <r>
      <rPr>
        <b/>
        <sz val="8"/>
        <color indexed="0"/>
        <rFont val="Arial"/>
        <family val="2"/>
      </rPr>
      <t>Total</t>
    </r>
  </si>
  <si>
    <r>
      <rPr>
        <b/>
        <sz val="8"/>
        <color indexed="0"/>
        <rFont val="Arial"/>
        <family val="2"/>
      </rPr>
      <t>Female</t>
    </r>
  </si>
  <si>
    <r>
      <rPr>
        <b/>
        <sz val="8"/>
        <color indexed="0"/>
        <rFont val="Arial"/>
        <family val="2"/>
      </rPr>
      <t>Male</t>
    </r>
  </si>
  <si>
    <r>
      <rPr>
        <sz val="8"/>
        <color indexed="0"/>
        <rFont val="Arial"/>
        <family val="2"/>
      </rPr>
      <t>All occupations, all ages</t>
    </r>
  </si>
  <si>
    <r>
      <rPr>
        <sz val="8"/>
        <color indexed="0"/>
        <rFont val="Arial"/>
        <family val="2"/>
      </rPr>
      <t>29 and younger</t>
    </r>
  </si>
  <si>
    <r>
      <rPr>
        <sz val="8"/>
        <color indexed="0"/>
        <rFont val="Arial"/>
        <family val="2"/>
      </rPr>
      <t>30–39</t>
    </r>
  </si>
  <si>
    <r>
      <rPr>
        <sz val="8"/>
        <color indexed="0"/>
        <rFont val="Arial"/>
        <family val="2"/>
      </rPr>
      <t>40–49</t>
    </r>
  </si>
  <si>
    <r>
      <rPr>
        <sz val="8"/>
        <color indexed="0"/>
        <rFont val="Arial"/>
        <family val="2"/>
      </rPr>
      <t>50–75</t>
    </r>
  </si>
  <si>
    <r>
      <rPr>
        <sz val="8"/>
        <color indexed="0"/>
        <rFont val="Arial"/>
        <family val="2"/>
      </rPr>
      <t>S&amp;E occupations</t>
    </r>
  </si>
  <si>
    <r>
      <rPr>
        <sz val="8"/>
        <color indexed="0"/>
        <rFont val="Arial"/>
        <family val="2"/>
      </rPr>
      <t>D</t>
    </r>
  </si>
  <si>
    <r>
      <rPr>
        <sz val="8"/>
        <color indexed="0"/>
        <rFont val="Arial"/>
        <family val="2"/>
      </rPr>
      <t>S</t>
    </r>
  </si>
  <si>
    <r>
      <rPr>
        <sz val="8"/>
        <color indexed="0"/>
        <rFont val="Arial"/>
        <family val="2"/>
      </rPr>
      <t>Biological, agricultural, and other life scientists</t>
    </r>
  </si>
  <si>
    <r>
      <rPr>
        <sz val="8"/>
        <color indexed="0"/>
        <rFont val="Arial"/>
        <family val="2"/>
      </rPr>
      <t>Computer and mathematical scientists</t>
    </r>
  </si>
  <si>
    <r>
      <rPr>
        <sz val="8"/>
        <color indexed="0"/>
        <rFont val="Arial"/>
        <family val="2"/>
      </rPr>
      <t>Physical and related scientists</t>
    </r>
  </si>
  <si>
    <r>
      <rPr>
        <sz val="12"/>
        <color indexed="0"/>
        <rFont val="Arial"/>
        <family val="2"/>
      </rPr>
      <t>*</t>
    </r>
  </si>
  <si>
    <r>
      <rPr>
        <sz val="8"/>
        <color indexed="0"/>
        <rFont val="Arial"/>
        <family val="2"/>
      </rPr>
      <t>Social and related scientists</t>
    </r>
  </si>
  <si>
    <r>
      <rPr>
        <sz val="8"/>
        <color indexed="0"/>
        <rFont val="Arial"/>
        <family val="2"/>
      </rPr>
      <t>Engineers</t>
    </r>
  </si>
  <si>
    <r>
      <rPr>
        <sz val="8"/>
        <color indexed="0"/>
        <rFont val="Arial"/>
        <family val="2"/>
      </rPr>
      <t>S&amp;E-related occupations</t>
    </r>
  </si>
  <si>
    <r>
      <rPr>
        <sz val="8"/>
        <color indexed="0"/>
        <rFont val="Arial"/>
        <family val="2"/>
      </rPr>
      <t>Non-S&amp;E occupations</t>
    </r>
  </si>
  <si>
    <r>
      <rPr>
        <b/>
        <sz val="8"/>
        <color rgb="FF3F3F3F"/>
        <rFont val="Gill Sans MT"/>
        <family val="2"/>
      </rPr>
      <t xml:space="preserve">TABLE 5-3
</t>
    </r>
    <r>
      <rPr>
        <b/>
        <sz val="9"/>
        <rFont val="Gill Sans MT"/>
        <family val="2"/>
      </rPr>
      <t xml:space="preserve">College graduates, by broad field of highest degree, father's education, mother's education, level of highest degree, and median amount borrowed to finance undergraduate degree: 2021
</t>
    </r>
    <r>
      <rPr>
        <sz val="7.5"/>
        <rFont val="Gill Sans MT"/>
        <family val="2"/>
      </rPr>
      <t>(Number)</t>
    </r>
  </si>
  <si>
    <r>
      <rPr>
        <sz val="8"/>
        <rFont val="Gill Sans MT"/>
        <family val="2"/>
      </rPr>
      <t>Field of highest degree, father's education, and mother's education</t>
    </r>
  </si>
  <si>
    <r>
      <rPr>
        <sz val="8"/>
        <rFont val="Trebuchet MS"/>
        <family val="2"/>
      </rPr>
      <t>$1–$10,000</t>
    </r>
  </si>
  <si>
    <r>
      <rPr>
        <sz val="8"/>
        <rFont val="Trebuchet MS"/>
        <family val="2"/>
      </rPr>
      <t>$10,001–$20,000</t>
    </r>
  </si>
  <si>
    <r>
      <rPr>
        <sz val="8"/>
        <rFont val="Trebuchet MS"/>
        <family val="2"/>
      </rPr>
      <t>$20,001–$30,000</t>
    </r>
  </si>
  <si>
    <r>
      <rPr>
        <sz val="8"/>
        <rFont val="Gill Sans MT"/>
        <family val="2"/>
      </rPr>
      <t>$30,001 and over</t>
    </r>
  </si>
  <si>
    <r>
      <rPr>
        <sz val="8"/>
        <rFont val="Gill Sans MT"/>
        <family val="2"/>
      </rPr>
      <t>Professional degree (e.g., JD, LLB, MD, DDS)</t>
    </r>
  </si>
  <si>
    <r>
      <rPr>
        <sz val="8"/>
        <rFont val="Gill Sans MT"/>
        <family val="2"/>
      </rPr>
      <t>Doctorate (e.g., PhD, DSc, EdD)</t>
    </r>
  </si>
  <si>
    <r>
      <rPr>
        <sz val="8"/>
        <rFont val="Gill Sans MT"/>
        <family val="2"/>
      </rPr>
      <t>Not applicable</t>
    </r>
  </si>
  <si>
    <r>
      <rPr>
        <sz val="8"/>
        <rFont val="Gill Sans MT"/>
        <family val="2"/>
      </rPr>
      <t>Father's education</t>
    </r>
  </si>
  <si>
    <r>
      <rPr>
        <sz val="8"/>
        <rFont val="Gill Sans MT"/>
        <family val="2"/>
      </rPr>
      <t>Less than high school completed</t>
    </r>
  </si>
  <si>
    <r>
      <rPr>
        <sz val="8"/>
        <rFont val="Gill Sans MT"/>
        <family val="2"/>
      </rPr>
      <t>High school diploma or equivalent</t>
    </r>
  </si>
  <si>
    <r>
      <rPr>
        <sz val="8"/>
        <rFont val="Gill Sans MT"/>
        <family val="2"/>
      </rPr>
      <t>Some college, vocational, or trade school (including 2-year degrees)</t>
    </r>
  </si>
  <si>
    <r>
      <rPr>
        <sz val="8"/>
        <rFont val="Gill Sans MT"/>
        <family val="2"/>
      </rPr>
      <t>Bachelor's degree (e.g., BS, BA, AB)</t>
    </r>
  </si>
  <si>
    <r>
      <rPr>
        <sz val="8"/>
        <rFont val="Gill Sans MT"/>
        <family val="2"/>
      </rPr>
      <t>Master's degree (e.g., MS, MA, MBA)</t>
    </r>
  </si>
  <si>
    <r>
      <rPr>
        <sz val="8"/>
        <rFont val="Gill Sans MT"/>
        <family val="2"/>
      </rPr>
      <t>Mother's education</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</si>
  <si>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Totals for master's, doctorate, and professional highest degree earners include individuals who did not earn an undergraduate degree. These are primarily individuals who earned a first degree at an international institution for which the award is not counted as an undergraduate award by U.S. standards.
</t>
    </r>
    <r>
      <rPr>
        <b/>
        <sz val="8"/>
        <rFont val="Gill Sans MT"/>
        <family val="2"/>
      </rPr>
      <t xml:space="preserve">Source(s):
</t>
    </r>
    <r>
      <rPr>
        <sz val="8"/>
        <rFont val="Gill Sans MT"/>
        <family val="2"/>
      </rPr>
      <t>National Center for Science and Engineering Statistics, National Survey of College Graduates, 2021.</t>
    </r>
  </si>
  <si>
    <t>$1–$10,000 ($5,000.50)</t>
  </si>
  <si>
    <t>$10,001–$20,000 ($15,000.50)</t>
  </si>
  <si>
    <t>$20,001–$30,000 ($25,000.50)</t>
  </si>
  <si>
    <t>$30,001 and over ($35,000.50)</t>
  </si>
  <si>
    <t>Weighted Mean</t>
  </si>
  <si>
    <t>All Degrees Total</t>
  </si>
  <si>
    <t>Degree Type</t>
  </si>
  <si>
    <r>
      <rPr>
        <b/>
        <sz val="8"/>
        <color rgb="FF3F3F3F"/>
        <rFont val="Gill Sans MT"/>
        <family val="2"/>
      </rPr>
      <t xml:space="preserve">TABLE 5-4
</t>
    </r>
    <r>
      <rPr>
        <b/>
        <sz val="9"/>
        <rFont val="Gill Sans MT"/>
        <family val="2"/>
      </rPr>
      <t xml:space="preserve">Employed college graduates, by nativity, level of highest degree, major occupation, and employment sector: 2021
</t>
    </r>
    <r>
      <rPr>
        <sz val="7.5"/>
        <rFont val="Gill Sans MT"/>
        <family val="2"/>
      </rPr>
      <t>(Number)</t>
    </r>
  </si>
  <si>
    <r>
      <rPr>
        <sz val="8"/>
        <rFont val="Gill Sans MT"/>
        <family val="2"/>
      </rPr>
      <t>Nativity, level of highest degree, and occupation</t>
    </r>
  </si>
  <si>
    <r>
      <rPr>
        <sz val="8"/>
        <rFont val="Gill Sans MT"/>
        <family val="2"/>
      </rPr>
      <t>Government</t>
    </r>
    <r>
      <rPr>
        <vertAlign val="superscript"/>
        <sz val="7"/>
        <rFont val="Gill Sans MT"/>
        <family val="2"/>
      </rPr>
      <t>b</t>
    </r>
  </si>
  <si>
    <t>P(Business or industry)</t>
  </si>
  <si>
    <t>P(4-year educational institution)</t>
  </si>
  <si>
    <t>P(2-year college or precollege educational institution)</t>
  </si>
  <si>
    <t>P(Government)</t>
  </si>
  <si>
    <t>P(Nativity and Degree) Scale</t>
  </si>
  <si>
    <t>P(Nativity and Degree)</t>
  </si>
  <si>
    <r>
      <rPr>
        <sz val="8"/>
        <rFont val="Gill Sans MT"/>
        <family val="2"/>
      </rPr>
      <t>All college graduates, all degrees, all occupations</t>
    </r>
  </si>
  <si>
    <r>
      <rPr>
        <sz val="8"/>
        <rFont val="Gill Sans MT"/>
        <family val="2"/>
      </rPr>
      <t>Foreign-born college graduates, all degrees, all occupations</t>
    </r>
  </si>
  <si>
    <r>
      <rPr>
        <sz val="8"/>
        <rFont val="Gill Sans MT"/>
        <family val="2"/>
      </rPr>
      <t>U.S.-born college graduates, all degrees, all occupations</t>
    </r>
  </si>
  <si>
    <r>
      <rPr>
        <sz val="8"/>
        <rFont val="Gill Sans MT"/>
        <family val="2"/>
      </rPr>
      <t>D = suppressed to avoid disclosure of confidential information. S = suppressed for reliability; coefficient of variation exceeds publication standards.</t>
    </r>
  </si>
  <si>
    <r>
      <rPr>
        <sz val="8"/>
        <rFont val="Gill Sans MT"/>
        <family val="2"/>
      </rPr>
      <t xml:space="preserve">S&amp;E = science and engineering.
</t>
    </r>
    <r>
      <rPr>
        <vertAlign val="superscript"/>
        <sz val="7"/>
        <rFont val="Gill Sans MT"/>
        <family val="2"/>
      </rPr>
      <t xml:space="preserve">a </t>
    </r>
    <r>
      <rPr>
        <sz val="8"/>
        <rFont val="Gill Sans MT"/>
        <family val="2"/>
      </rPr>
      <t xml:space="preserve">Four-year educational institution includes medical schools and university-affiliated research institutes.
</t>
    </r>
    <r>
      <rPr>
        <vertAlign val="superscript"/>
        <sz val="7"/>
        <rFont val="Gill Sans MT"/>
        <family val="2"/>
      </rPr>
      <t xml:space="preserve">b </t>
    </r>
    <r>
      <rPr>
        <sz val="8"/>
        <rFont val="Gill Sans MT"/>
        <family val="2"/>
      </rPr>
      <t>Government includes federal (civilian), military, state, and local employers.</t>
    </r>
  </si>
  <si>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</si>
  <si>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5-5
</t>
    </r>
    <r>
      <rPr>
        <b/>
        <sz val="9"/>
        <rFont val="Gill Sans MT"/>
        <family val="2"/>
      </rPr>
      <t xml:space="preserve">Employed foreign-born college graduates, by broad degree field, country of birth, and broad occupation: 2021
</t>
    </r>
    <r>
      <rPr>
        <sz val="7.5"/>
        <rFont val="Gill Sans MT"/>
        <family val="2"/>
      </rPr>
      <t>(Number)</t>
    </r>
  </si>
  <si>
    <r>
      <rPr>
        <sz val="8"/>
        <rFont val="Gill Sans MT"/>
        <family val="2"/>
      </rPr>
      <t>Degree field and country of birth</t>
    </r>
  </si>
  <si>
    <r>
      <rPr>
        <sz val="8"/>
        <rFont val="Gill Sans MT"/>
        <family val="2"/>
      </rPr>
      <t>All foreign-born college graduates, all degree fields</t>
    </r>
  </si>
  <si>
    <r>
      <rPr>
        <sz val="8"/>
        <rFont val="Gill Sans MT"/>
        <family val="2"/>
      </rPr>
      <t>India</t>
    </r>
  </si>
  <si>
    <r>
      <rPr>
        <sz val="8"/>
        <rFont val="Gill Sans MT"/>
        <family val="2"/>
      </rPr>
      <t>Philippines</t>
    </r>
  </si>
  <si>
    <r>
      <rPr>
        <sz val="8"/>
        <rFont val="Gill Sans MT"/>
        <family val="2"/>
      </rPr>
      <t>China</t>
    </r>
  </si>
  <si>
    <r>
      <rPr>
        <sz val="8"/>
        <rFont val="Gill Sans MT"/>
        <family val="2"/>
      </rPr>
      <t>Mexico</t>
    </r>
  </si>
  <si>
    <r>
      <rPr>
        <sz val="8"/>
        <rFont val="Gill Sans MT"/>
        <family val="2"/>
      </rPr>
      <t>Canada</t>
    </r>
  </si>
  <si>
    <r>
      <rPr>
        <sz val="8"/>
        <rFont val="Gill Sans MT"/>
        <family val="2"/>
      </rPr>
      <t>South Korea</t>
    </r>
  </si>
  <si>
    <r>
      <rPr>
        <sz val="8"/>
        <rFont val="Gill Sans MT"/>
        <family val="2"/>
      </rPr>
      <t>Germany, not specified</t>
    </r>
  </si>
  <si>
    <r>
      <rPr>
        <sz val="8"/>
        <rFont val="Gill Sans MT"/>
        <family val="2"/>
      </rPr>
      <t>Vietnam</t>
    </r>
  </si>
  <si>
    <r>
      <rPr>
        <sz val="8"/>
        <rFont val="Gill Sans MT"/>
        <family val="2"/>
      </rPr>
      <t>Taiwan</t>
    </r>
  </si>
  <si>
    <r>
      <rPr>
        <sz val="8"/>
        <rFont val="Gill Sans MT"/>
        <family val="2"/>
      </rPr>
      <t>United Kingdom, not specified</t>
    </r>
  </si>
  <si>
    <r>
      <rPr>
        <sz val="8"/>
        <rFont val="Gill Sans MT"/>
        <family val="2"/>
      </rPr>
      <t>Jamaica</t>
    </r>
  </si>
  <si>
    <r>
      <rPr>
        <sz val="8"/>
        <rFont val="Gill Sans MT"/>
        <family val="2"/>
      </rPr>
      <t>Colombia</t>
    </r>
  </si>
  <si>
    <r>
      <rPr>
        <sz val="8"/>
        <rFont val="Gill Sans MT"/>
        <family val="2"/>
      </rPr>
      <t>Japan</t>
    </r>
  </si>
  <si>
    <r>
      <rPr>
        <sz val="8"/>
        <rFont val="Gill Sans MT"/>
        <family val="2"/>
      </rPr>
      <t>Nigeria</t>
    </r>
  </si>
  <si>
    <r>
      <rPr>
        <sz val="8"/>
        <rFont val="Gill Sans MT"/>
        <family val="2"/>
      </rPr>
      <t>Venezuela</t>
    </r>
  </si>
  <si>
    <r>
      <rPr>
        <sz val="8"/>
        <rFont val="Gill Sans MT"/>
        <family val="2"/>
      </rPr>
      <t>Brazil</t>
    </r>
  </si>
  <si>
    <r>
      <rPr>
        <sz val="8"/>
        <rFont val="Gill Sans MT"/>
        <family val="2"/>
      </rPr>
      <t>Iran</t>
    </r>
  </si>
  <si>
    <r>
      <rPr>
        <sz val="8"/>
        <rFont val="Gill Sans MT"/>
        <family val="2"/>
      </rPr>
      <t>Russia</t>
    </r>
  </si>
  <si>
    <r>
      <rPr>
        <sz val="8"/>
        <rFont val="Gill Sans MT"/>
        <family val="2"/>
      </rPr>
      <t>Pakistan</t>
    </r>
  </si>
  <si>
    <r>
      <rPr>
        <sz val="8"/>
        <rFont val="Gill Sans MT"/>
        <family val="2"/>
      </rPr>
      <t>Hong Kong</t>
    </r>
  </si>
  <si>
    <r>
      <rPr>
        <sz val="8"/>
        <rFont val="Gill Sans MT"/>
        <family val="2"/>
      </rPr>
      <t>Cuba</t>
    </r>
  </si>
  <si>
    <r>
      <rPr>
        <sz val="8"/>
        <rFont val="Gill Sans MT"/>
        <family val="2"/>
      </rPr>
      <t>France</t>
    </r>
  </si>
  <si>
    <r>
      <rPr>
        <sz val="8"/>
        <rFont val="Gill Sans MT"/>
        <family val="2"/>
      </rPr>
      <t>Peru</t>
    </r>
  </si>
  <si>
    <r>
      <rPr>
        <sz val="8"/>
        <rFont val="Gill Sans MT"/>
        <family val="2"/>
      </rPr>
      <t>Dominican Republic</t>
    </r>
  </si>
  <si>
    <r>
      <rPr>
        <sz val="8"/>
        <rFont val="Gill Sans MT"/>
        <family val="2"/>
      </rPr>
      <t>Poland</t>
    </r>
  </si>
  <si>
    <r>
      <rPr>
        <sz val="8"/>
        <rFont val="Gill Sans MT"/>
        <family val="2"/>
      </rPr>
      <t>All other countries</t>
    </r>
  </si>
  <si>
    <r>
      <rPr>
        <sz val="8"/>
        <rFont val="Gill Sans MT"/>
        <family val="2"/>
      </rPr>
      <t>Bangladesh</t>
    </r>
  </si>
  <si>
    <r>
      <rPr>
        <sz val="8"/>
        <rFont val="Gill Sans MT"/>
        <family val="2"/>
      </rPr>
      <t>Ukraine</t>
    </r>
  </si>
  <si>
    <r>
      <rPr>
        <sz val="8"/>
        <rFont val="Gill Sans MT"/>
        <family val="2"/>
      </rPr>
      <t>Eastern Europe, not specified</t>
    </r>
  </si>
  <si>
    <r>
      <rPr>
        <sz val="8"/>
        <rFont val="Gill Sans MT"/>
        <family val="2"/>
      </rPr>
      <t>Haiti</t>
    </r>
  </si>
  <si>
    <r>
      <rPr>
        <sz val="8"/>
        <rFont val="Gill Sans MT"/>
        <family val="2"/>
      </rPr>
      <t>Lebanon</t>
    </r>
  </si>
  <si>
    <r>
      <rPr>
        <sz val="8"/>
        <rFont val="Gill Sans MT"/>
        <family val="2"/>
      </rPr>
      <t>Egypt</t>
    </r>
  </si>
  <si>
    <r>
      <rPr>
        <sz val="8"/>
        <rFont val="Gill Sans MT"/>
        <family val="2"/>
      </rPr>
      <t>Kuwait</t>
    </r>
  </si>
  <si>
    <r>
      <rPr>
        <sz val="8"/>
        <rFont val="Gill Sans MT"/>
        <family val="2"/>
      </rPr>
      <t>Ghana</t>
    </r>
  </si>
  <si>
    <r>
      <rPr>
        <sz val="8"/>
        <rFont val="Gill Sans MT"/>
        <family val="2"/>
      </rPr>
      <t>Trinidad and Tobago</t>
    </r>
  </si>
  <si>
    <r>
      <rPr>
        <sz val="8"/>
        <rFont val="Gill Sans MT"/>
        <family val="2"/>
      </rPr>
      <t>Thailand</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</si>
  <si>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For each broad degree field, data are presented for the 25 countries with the largest numbers of foreign-born college graduates employed in the United States during the survey reference week. Data include noncitizen college graduates who are on permanent or temporary visas.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</si>
  <si>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6-1
</t>
    </r>
    <r>
      <rPr>
        <b/>
        <sz val="9"/>
        <rFont val="Trebuchet MS"/>
        <family val="2"/>
      </rPr>
      <t xml:space="preserve">Employed scientists and engineers, by level of highest degree and minor field of highest degree: 2003–21
</t>
    </r>
    <r>
      <rPr>
        <sz val="7.5"/>
        <rFont val="Gill Sans MT"/>
        <family val="2"/>
      </rPr>
      <t>(Number)</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</si>
  <si>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Scientists and engineers are bachelor's and higher degreed individuals living in the United States employed in an S&amp;E occupation.
</t>
    </r>
    <r>
      <rPr>
        <b/>
        <sz val="8"/>
        <rFont val="Gill Sans MT"/>
        <family val="2"/>
      </rPr>
      <t xml:space="preserve">Source(s):
</t>
    </r>
    <r>
      <rPr>
        <sz val="8"/>
        <rFont val="Gill Sans MT"/>
        <family val="2"/>
      </rPr>
      <t>National Center for Science and Engineering Statistics, National Survey of College Graduates.</t>
    </r>
  </si>
  <si>
    <r>
      <rPr>
        <b/>
        <sz val="8"/>
        <color rgb="FF3F3F3F"/>
        <rFont val="Gill Sans MT"/>
        <family val="2"/>
      </rPr>
      <t xml:space="preserve">TABLE 6-2
</t>
    </r>
    <r>
      <rPr>
        <b/>
        <sz val="9"/>
        <rFont val="Trebuchet MS"/>
        <family val="2"/>
      </rPr>
      <t xml:space="preserve">Employed college graduates, by sex, race, ethnicity, and major occupation: 2003–21
</t>
    </r>
    <r>
      <rPr>
        <sz val="7.5"/>
        <rFont val="Gill Sans MT"/>
        <family val="2"/>
      </rPr>
      <t>(Number)</t>
    </r>
  </si>
  <si>
    <r>
      <rPr>
        <sz val="8"/>
        <rFont val="Gill Sans MT"/>
        <family val="2"/>
      </rPr>
      <t>Sex, ethnicity, race, and occupation</t>
    </r>
  </si>
  <si>
    <r>
      <rPr>
        <sz val="8"/>
        <rFont val="Gill Sans MT"/>
        <family val="2"/>
      </rPr>
      <t>Both sexes</t>
    </r>
  </si>
  <si>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Hispanic or Latino may be any race; race categories exclude Hispanic origin.
</t>
    </r>
    <r>
      <rPr>
        <b/>
        <sz val="8"/>
        <rFont val="Gill Sans MT"/>
        <family val="2"/>
      </rPr>
      <t xml:space="preserve">Source(s):
</t>
    </r>
    <r>
      <rPr>
        <sz val="8"/>
        <rFont val="Gill Sans MT"/>
        <family val="2"/>
      </rPr>
      <t>National Center for Science and Engineering Statistics, National Survey of College Graduates.</t>
    </r>
  </si>
  <si>
    <t>P(2003)</t>
  </si>
  <si>
    <t>P(2010)</t>
  </si>
  <si>
    <t>P(2013)</t>
  </si>
  <si>
    <t>P(2015)</t>
  </si>
  <si>
    <t>P(2017)</t>
  </si>
  <si>
    <t>P(2019)</t>
  </si>
  <si>
    <t>P(2021)</t>
  </si>
  <si>
    <r>
      <rPr>
        <sz val="8"/>
        <rFont val="Gill Sans MT"/>
        <family val="2"/>
      </rPr>
      <t>Employed scientists and engineers</t>
    </r>
  </si>
  <si>
    <r>
      <rPr>
        <b/>
        <sz val="8"/>
        <color rgb="FF3F3F3F"/>
        <rFont val="Gill Sans MT"/>
        <family val="2"/>
      </rPr>
      <t xml:space="preserve">TABLE 6-3
</t>
    </r>
    <r>
      <rPr>
        <b/>
        <sz val="9"/>
        <rFont val="Trebuchet MS"/>
        <family val="2"/>
      </rPr>
      <t xml:space="preserve">Employed college graduates, by sex, level of highest degree, and major occupation: 2003–21
</t>
    </r>
    <r>
      <rPr>
        <sz val="7.5"/>
        <rFont val="Gill Sans MT"/>
        <family val="2"/>
      </rPr>
      <t>(Number)</t>
    </r>
  </si>
  <si>
    <r>
      <rPr>
        <sz val="8"/>
        <rFont val="Gill Sans MT"/>
        <family val="2"/>
      </rPr>
      <t>Sex, level of highest degree, and occupation</t>
    </r>
  </si>
  <si>
    <t>Professional</t>
  </si>
  <si>
    <r>
      <rPr>
        <sz val="8"/>
        <rFont val="Gill Sans MT"/>
        <family val="2"/>
      </rPr>
      <t xml:space="preserve">S&amp;E = science and engineering.
</t>
    </r>
    <r>
      <rPr>
        <b/>
        <sz val="8"/>
        <rFont val="Gill Sans MT"/>
        <family val="2"/>
      </rPr>
      <t xml:space="preserve">Note(s):
</t>
    </r>
    <r>
      <rPr>
        <sz val="8"/>
        <rFont val="Gill Sans MT"/>
        <family val="2"/>
      </rPr>
      <t xml:space="preserve">Numbers are rounded to the nearest 1,000. Detail may not add to total because of rounding.
</t>
    </r>
    <r>
      <rPr>
        <b/>
        <sz val="8"/>
        <rFont val="Gill Sans MT"/>
        <family val="2"/>
      </rPr>
      <t xml:space="preserve">Source(s):
</t>
    </r>
    <r>
      <rPr>
        <sz val="8"/>
        <rFont val="Gill Sans MT"/>
        <family val="2"/>
      </rPr>
      <t>National Center for Science and Engineering Statistics, National Survey of College Graduates.</t>
    </r>
  </si>
  <si>
    <t xml:space="preserve">Total </t>
  </si>
  <si>
    <t>Both sexes</t>
  </si>
  <si>
    <t>All Males</t>
  </si>
  <si>
    <t>Bachelor's, Male</t>
  </si>
  <si>
    <t>Master's, Male</t>
  </si>
  <si>
    <t>Doctorate, Male</t>
  </si>
  <si>
    <t>All Females</t>
  </si>
  <si>
    <t>Bachelor's, Female</t>
  </si>
  <si>
    <t>Master's, Female</t>
  </si>
  <si>
    <t>Doctorate, Female</t>
  </si>
  <si>
    <t>Professional, Female</t>
  </si>
  <si>
    <t>Professional, Male</t>
  </si>
  <si>
    <r>
      <rPr>
        <b/>
        <sz val="8"/>
        <color rgb="FF3F3F3F"/>
        <rFont val="Gill Sans MT"/>
        <family val="2"/>
      </rPr>
      <t xml:space="preserve">TABLE 6-4
</t>
    </r>
    <r>
      <rPr>
        <b/>
        <sz val="9"/>
        <rFont val="Trebuchet MS"/>
        <family val="2"/>
      </rPr>
      <t xml:space="preserve">Employed college graduates, by nativity, level of highest degree, and major occupation: 2003–21
</t>
    </r>
    <r>
      <rPr>
        <sz val="7.5"/>
        <rFont val="Gill Sans MT"/>
        <family val="2"/>
      </rPr>
      <t>(Number)</t>
    </r>
  </si>
  <si>
    <t>All Bachelor's</t>
  </si>
  <si>
    <t>All Master's</t>
  </si>
  <si>
    <t>All Doctorate</t>
  </si>
  <si>
    <t>Foreign-born college graduates, all degrees, all occupations</t>
  </si>
  <si>
    <t>Foreign-born Bachelor's</t>
  </si>
  <si>
    <t>Foreign-born Master's</t>
  </si>
  <si>
    <t>Foreign-born Doctorate</t>
  </si>
  <si>
    <t>U.S.-born college graduates, all degrees, all occupations</t>
  </si>
  <si>
    <t>U.S.-born Bachelor's</t>
  </si>
  <si>
    <t>U.S.-born Master's</t>
  </si>
  <si>
    <t>U.S.-born Doctorate</t>
  </si>
  <si>
    <t>All Professional</t>
  </si>
  <si>
    <t>Foreign-born Professional</t>
  </si>
  <si>
    <t>U.S.-born Professional</t>
  </si>
  <si>
    <t>HOUSEHOLD DATA
ANNUAL AVERAGES
54. Median weekly earnings of full-time wage and salary workers by certification and licensing status and selected characteristics, 2021 annual averages</t>
  </si>
  <si>
    <t/>
  </si>
  <si>
    <t>Characteristic</t>
  </si>
  <si>
    <t>Full-time
wage and
salary
workers (in
thousands)</t>
  </si>
  <si>
    <t>Median weekly earnings</t>
  </si>
  <si>
    <t>Median annual earnings (calculated)</t>
  </si>
  <si>
    <r>
      <rPr>
        <sz val="11"/>
        <rFont val="Calibri"/>
        <family val="2"/>
      </rPr>
      <t>With a certification or license</t>
    </r>
    <r>
      <rPr>
        <vertAlign val="superscript"/>
        <sz val="11"/>
        <rFont val="Calibri"/>
        <family val="2"/>
      </rPr>
      <t>(1)</t>
    </r>
  </si>
  <si>
    <t>Without a
certification or
license</t>
  </si>
  <si>
    <t>With a
certification,
but no license</t>
  </si>
  <si>
    <r>
      <rPr>
        <sz val="11"/>
        <rFont val="Calibri"/>
        <family val="2"/>
      </rPr>
      <t>With a
license</t>
    </r>
    <r>
      <rPr>
        <vertAlign val="superscript"/>
        <sz val="11"/>
        <rFont val="Calibri"/>
        <family val="2"/>
      </rPr>
      <t>(2)</t>
    </r>
  </si>
  <si>
    <t>Calc. Cert. no License</t>
  </si>
  <si>
    <t>Calc. License</t>
  </si>
  <si>
    <t>Calc. Avg. Total</t>
  </si>
  <si>
    <t>Age and sex</t>
  </si>
  <si>
    <t>Total, 16 years and over</t>
  </si>
  <si>
    <t>16 to 24 years</t>
  </si>
  <si>
    <t>25 to 54 years</t>
  </si>
  <si>
    <t>25 to 34 years</t>
  </si>
  <si>
    <t>35 to 44 years</t>
  </si>
  <si>
    <t>45 to 54 years</t>
  </si>
  <si>
    <t>55 years and over</t>
  </si>
  <si>
    <t>55 to 64 years</t>
  </si>
  <si>
    <t>65 years and over</t>
  </si>
  <si>
    <t>Men, 16 years and over</t>
  </si>
  <si>
    <t>Women, 16 years and over</t>
  </si>
  <si>
    <t>–</t>
  </si>
  <si>
    <t>Race and Hispanic or Latino ethnicity</t>
  </si>
  <si>
    <t>White, 16 years and over</t>
  </si>
  <si>
    <t>Men</t>
  </si>
  <si>
    <t>Women</t>
  </si>
  <si>
    <t>Black or African American, 16 years and over</t>
  </si>
  <si>
    <t>Asian, 16 years and over</t>
  </si>
  <si>
    <t>Hispanic or Latino ethnicity, 16 years and over</t>
  </si>
  <si>
    <t>Educational attainment</t>
  </si>
  <si>
    <t>Total, 25 years and over</t>
  </si>
  <si>
    <t>Less than a high school diploma</t>
  </si>
  <si>
    <r>
      <rPr>
        <sz val="11"/>
        <rFont val="Calibri"/>
        <family val="2"/>
      </rPr>
      <t>High school graduates, no college</t>
    </r>
    <r>
      <rPr>
        <vertAlign val="superscript"/>
        <sz val="11"/>
        <rFont val="Calibri"/>
        <family val="2"/>
      </rPr>
      <t>(3)</t>
    </r>
  </si>
  <si>
    <t>Some college or associate degree</t>
  </si>
  <si>
    <t>Some college, no degree</t>
  </si>
  <si>
    <t>Associate degree</t>
  </si>
  <si>
    <t>Bachelor's degree and higher</t>
  </si>
  <si>
    <t>Bachelor's degree only</t>
  </si>
  <si>
    <r>
      <rPr>
        <sz val="11"/>
        <rFont val="Calibri"/>
        <family val="2"/>
      </rPr>
      <t>Advanced degree</t>
    </r>
    <r>
      <rPr>
        <vertAlign val="superscript"/>
        <sz val="11"/>
        <rFont val="Calibri"/>
        <family val="2"/>
      </rPr>
      <t>(4)</t>
    </r>
  </si>
  <si>
    <t>Men, 25 years and over</t>
  </si>
  <si>
    <t>Women, 25 years and over</t>
  </si>
  <si>
    <t>Footnotes:</t>
  </si>
  <si>
    <t>(1) A person may have more than one certification or license.</t>
  </si>
  <si>
    <t>(2) Persons with a license may also have a certification.</t>
  </si>
  <si>
    <t>(3) Includes persons with a high school diploma or equivalent.</t>
  </si>
  <si>
    <t>(4) Includes persons with master's, professional, and doctoral degrees.</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</si>
  <si>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Estimates for the above race groups (White, Black or African American, and Asian) do not sum to totals because data are not presented for all races. Persons whose ethnicity is identified as Hispanic or Latino may be of any race. Dash indicates no data or data that do not meet publication criteria (values not shown where base is less than 50,000). Updated population controls are introduced annually with the release of January data.</t>
  </si>
  <si>
    <t>HOUSEHOLD DATA
ANNUAL AVERAGES
55. Median weekly earnings of full-time wage and salary workers by certification and licensing status and occupation, 2021 annual averages</t>
  </si>
  <si>
    <t>Occupation</t>
  </si>
  <si>
    <t>Management, professional, and related occupations</t>
  </si>
  <si>
    <t>Management, business, and financial operations occupations</t>
  </si>
  <si>
    <t>Management occupations</t>
  </si>
  <si>
    <t>Business and financial operations occupations</t>
  </si>
  <si>
    <t>Professional and related occupations</t>
  </si>
  <si>
    <t>Computer and mathematical occupations</t>
  </si>
  <si>
    <t>Architecture and engineering occupations</t>
  </si>
  <si>
    <t>Life, physical, and social science occupations</t>
  </si>
  <si>
    <t>Community and social services occupations</t>
  </si>
  <si>
    <t>Legal occupations</t>
  </si>
  <si>
    <t>Education, training, and library occupations</t>
  </si>
  <si>
    <t>Arts, design, entertainment, sports, and media occupations</t>
  </si>
  <si>
    <t>Healthcare practitioners and technical occupations</t>
  </si>
  <si>
    <t>Service occupations</t>
  </si>
  <si>
    <t>Healthcare support occupations</t>
  </si>
  <si>
    <t>Protective service occupations</t>
  </si>
  <si>
    <t>Food preparation and serving related occupations</t>
  </si>
  <si>
    <t>Building and grounds cleaning and maintenance occupations</t>
  </si>
  <si>
    <t>Personal care and service occupations</t>
  </si>
  <si>
    <t>Sales and office occupations</t>
  </si>
  <si>
    <t>Sales and related occupations</t>
  </si>
  <si>
    <t>Office and administrative support occupations</t>
  </si>
  <si>
    <t>Natural resources, construction, and maintenance occupations</t>
  </si>
  <si>
    <t>Farming, fishing, and forestry occupations</t>
  </si>
  <si>
    <t>Construction and extraction occupations</t>
  </si>
  <si>
    <t>Installation, maintenance, and repair occupations</t>
  </si>
  <si>
    <t>Production, transportation, and material moving occupations</t>
  </si>
  <si>
    <t>Production occupations</t>
  </si>
  <si>
    <t>Transportation and material moving occupations</t>
  </si>
  <si>
    <t>NOTE: Certifications are issued by a non-governmental certification body and convey that an individual has the knowledge or skill to perform a specific job. A license is awarded by a government agency and conveys a legal authority to work in an occupation. Full time is 35 hours or more per week. Data are for wage and salary workers; all self-employed workers are excluded, both those with incorporated businesses and those with unincorporated businesses.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</si>
  <si>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r>
      <rPr>
        <b/>
        <sz val="16.5"/>
        <color rgb="FF2060AC"/>
        <rFont val="Gill Sans MT"/>
        <family val="2"/>
      </rPr>
      <t>Technical Notes</t>
    </r>
  </si>
  <si>
    <r>
      <rPr>
        <b/>
        <sz val="13.5"/>
        <rFont val="Gill Sans MT"/>
        <family val="2"/>
      </rPr>
      <t xml:space="preserve">Survey Overview
</t>
    </r>
    <r>
      <rPr>
        <i/>
        <sz val="10"/>
        <rFont val="Gill Sans MT"/>
        <family val="2"/>
      </rPr>
      <t xml:space="preserve">Purpose. </t>
    </r>
    <r>
      <rPr>
        <sz val="10"/>
        <rFont val="Gill Sans MT"/>
        <family val="2"/>
      </rPr>
      <t xml:space="preserve">The National Survey of College Graduates (NSCG) provides data on the characteristics of the nation’s college graduates, with a focus on those in the science and engineering (S&amp;E) workforce. It samples individuals who are living in the United States during the survey reference week, have earned at least a bachelor’s degree, and are younger than 76. By surveying college graduates in all academic disciplines, the NSCG provides data useful in understanding the relationship between college education and career opportunities, as well as the relationship between degree field and occupation.
</t>
    </r>
    <r>
      <rPr>
        <sz val="10"/>
        <rFont val="Gill Sans MT"/>
        <family val="2"/>
      </rPr>
      <t xml:space="preserve">The NSCG is designed to provide demographic, education, and career history information about college graduates and to complement another survey conducted by the National Center for Science and Engineering Statistics (NCSES): the Survey of Doctorate Recipients (SDR, </t>
    </r>
    <r>
      <rPr>
        <sz val="10"/>
        <color rgb="FF004E9D"/>
        <rFont val="Gill Sans MT"/>
        <family val="2"/>
      </rPr>
      <t>https://www.nsf.gov/statistics/srvydoctoratework/</t>
    </r>
    <r>
      <rPr>
        <sz val="10"/>
        <rFont val="Gill Sans MT"/>
        <family val="2"/>
      </rPr>
      <t xml:space="preserve">). These two surveys share a common reference date, and they use similar questionnaires and data processing guidelines.
</t>
    </r>
    <r>
      <rPr>
        <sz val="10"/>
        <rFont val="Gill Sans MT"/>
        <family val="2"/>
      </rPr>
      <t xml:space="preserve">The 2021 NSCG data collection instrument included new questions to gauge the effects of the coronavirus pandemic on employment, specifically on labor force status, number of hours worked per week, salary, benefits, telecommuting options, and total earned income.
</t>
    </r>
    <r>
      <rPr>
        <sz val="10"/>
        <rFont val="Gill Sans MT"/>
        <family val="2"/>
      </rPr>
      <t xml:space="preserve">These technical notes provide an overview of the 2021 NSCG. Complete details are provided in the 2021 NSCG Methodology Report, available upon request from the NSCG Survey Manager.
</t>
    </r>
    <r>
      <rPr>
        <i/>
        <sz val="10"/>
        <rFont val="Gill Sans MT"/>
        <family val="2"/>
      </rPr>
      <t xml:space="preserve">Data collection authority. </t>
    </r>
    <r>
      <rPr>
        <sz val="10"/>
        <rFont val="Gill Sans MT"/>
        <family val="2"/>
      </rPr>
      <t xml:space="preserve">The information collected in the NSCG is solicited under the authority of the National Science Foundation Act of 1950, as amended, and the America COMPETES Reauthorization Act of 2010. The Census Bureau collects the NSCG data, on behalf of NCSES, under the authority of Title 13, Section 8 of the United States Code. The Office of Management and Budget control number is 3145-0141.
</t>
    </r>
    <r>
      <rPr>
        <i/>
        <sz val="10"/>
        <rFont val="Gill Sans MT"/>
        <family val="2"/>
      </rPr>
      <t xml:space="preserve">Survey contractor. </t>
    </r>
    <r>
      <rPr>
        <sz val="10"/>
        <rFont val="Gill Sans MT"/>
        <family val="2"/>
      </rPr>
      <t xml:space="preserve">Census Bureau.
</t>
    </r>
    <r>
      <rPr>
        <i/>
        <sz val="10"/>
        <rFont val="Gill Sans MT"/>
        <family val="2"/>
      </rPr>
      <t xml:space="preserve">Survey sponsor. </t>
    </r>
    <r>
      <rPr>
        <sz val="10"/>
        <rFont val="Gill Sans MT"/>
        <family val="2"/>
      </rPr>
      <t>NCSES.</t>
    </r>
  </si>
  <si>
    <r>
      <rPr>
        <b/>
        <sz val="13.5"/>
        <rFont val="Gill Sans MT"/>
        <family val="2"/>
      </rPr>
      <t xml:space="preserve">Key Survey Information
</t>
    </r>
    <r>
      <rPr>
        <i/>
        <sz val="10"/>
        <rFont val="Gill Sans MT"/>
        <family val="2"/>
      </rPr>
      <t xml:space="preserve">Frequency. </t>
    </r>
    <r>
      <rPr>
        <sz val="10"/>
        <rFont val="Gill Sans MT"/>
        <family val="2"/>
      </rPr>
      <t xml:space="preserve">Biennial.
</t>
    </r>
    <r>
      <rPr>
        <i/>
        <sz val="10"/>
        <rFont val="Gill Sans MT"/>
        <family val="2"/>
      </rPr>
      <t xml:space="preserve">Initial survey year. </t>
    </r>
    <r>
      <rPr>
        <sz val="10"/>
        <rFont val="Gill Sans MT"/>
        <family val="2"/>
      </rPr>
      <t xml:space="preserve">1993.
</t>
    </r>
    <r>
      <rPr>
        <i/>
        <sz val="10"/>
        <rFont val="Gill Sans MT"/>
        <family val="2"/>
      </rPr>
      <t xml:space="preserve">Reference period. </t>
    </r>
    <r>
      <rPr>
        <sz val="10"/>
        <rFont val="Gill Sans MT"/>
        <family val="2"/>
      </rPr>
      <t xml:space="preserve">The week of 1 February 2021.
</t>
    </r>
    <r>
      <rPr>
        <i/>
        <sz val="10"/>
        <rFont val="Gill Sans MT"/>
        <family val="2"/>
      </rPr>
      <t xml:space="preserve">Response unit. </t>
    </r>
    <r>
      <rPr>
        <sz val="10"/>
        <rFont val="Gill Sans MT"/>
        <family val="2"/>
      </rPr>
      <t xml:space="preserve">Individual.
</t>
    </r>
    <r>
      <rPr>
        <i/>
        <sz val="10"/>
        <rFont val="Gill Sans MT"/>
        <family val="2"/>
      </rPr>
      <t xml:space="preserve">Sample or census. </t>
    </r>
    <r>
      <rPr>
        <sz val="10"/>
        <rFont val="Gill Sans MT"/>
        <family val="2"/>
      </rPr>
      <t xml:space="preserve">Sample.
</t>
    </r>
    <r>
      <rPr>
        <i/>
        <sz val="10"/>
        <rFont val="Gill Sans MT"/>
        <family val="2"/>
      </rPr>
      <t xml:space="preserve">Population size. </t>
    </r>
    <r>
      <rPr>
        <sz val="10"/>
        <rFont val="Gill Sans MT"/>
        <family val="2"/>
      </rPr>
      <t xml:space="preserve">Approximately 68.6 million individuals.
</t>
    </r>
    <r>
      <rPr>
        <i/>
        <sz val="10"/>
        <rFont val="Gill Sans MT"/>
        <family val="2"/>
      </rPr>
      <t xml:space="preserve">Sample size. </t>
    </r>
    <r>
      <rPr>
        <sz val="10"/>
        <rFont val="Gill Sans MT"/>
        <family val="2"/>
      </rPr>
      <t>Approximately 164,000 individuals.</t>
    </r>
  </si>
  <si>
    <r>
      <rPr>
        <b/>
        <sz val="13.5"/>
        <rFont val="Gill Sans MT"/>
        <family val="2"/>
      </rPr>
      <t xml:space="preserve">Survey Design
</t>
    </r>
    <r>
      <rPr>
        <i/>
        <sz val="10"/>
        <rFont val="Gill Sans MT"/>
        <family val="2"/>
      </rPr>
      <t xml:space="preserve">Target population. </t>
    </r>
    <r>
      <rPr>
        <sz val="10"/>
        <rFont val="Gill Sans MT"/>
        <family val="2"/>
      </rPr>
      <t>The NSCG target population includes individuals who meet the following criteria:</t>
    </r>
  </si>
  <si>
    <r>
      <rPr>
        <sz val="6"/>
        <rFont val="Arial"/>
        <family val="2"/>
      </rPr>
      <t xml:space="preserve">●     </t>
    </r>
    <r>
      <rPr>
        <sz val="10"/>
        <rFont val="Gill Sans MT"/>
        <family val="2"/>
      </rPr>
      <t>Earned a bachelor’s degree</t>
    </r>
    <r>
      <rPr>
        <vertAlign val="superscript"/>
        <sz val="6.5"/>
        <color rgb="FF005394"/>
        <rFont val="Gill Sans MT"/>
        <family val="2"/>
      </rPr>
      <t xml:space="preserve">1 </t>
    </r>
    <r>
      <rPr>
        <sz val="10"/>
        <rFont val="Gill Sans MT"/>
        <family val="2"/>
      </rPr>
      <t xml:space="preserve">or higher prior to 1 January 2020
</t>
    </r>
    <r>
      <rPr>
        <sz val="6"/>
        <rFont val="Arial"/>
        <family val="2"/>
      </rPr>
      <t xml:space="preserve">●     </t>
    </r>
    <r>
      <rPr>
        <sz val="10"/>
        <rFont val="Gill Sans MT"/>
        <family val="2"/>
      </rPr>
      <t>Are not institutionalized and reside in the United States or Puerto Rico as of 1 February 2021</t>
    </r>
  </si>
  <si>
    <r>
      <rPr>
        <sz val="6"/>
        <rFont val="Arial"/>
        <family val="2"/>
      </rPr>
      <t xml:space="preserve">●     </t>
    </r>
    <r>
      <rPr>
        <sz val="10"/>
        <rFont val="Gill Sans MT"/>
        <family val="2"/>
      </rPr>
      <t>Are younger than 76 years as of 1 February 2021</t>
    </r>
  </si>
  <si>
    <r>
      <rPr>
        <i/>
        <sz val="10"/>
        <rFont val="Gill Sans MT"/>
        <family val="2"/>
      </rPr>
      <t>Sampling frame</t>
    </r>
    <r>
      <rPr>
        <sz val="10"/>
        <rFont val="Gill Sans MT"/>
        <family val="2"/>
      </rPr>
      <t xml:space="preserve">. Using a rotating panel design, the 2021 NSCG includes new sample cases from the 2019 American Community Survey (ACS) and returning sample cases from the 2019 NSCG.
</t>
    </r>
    <r>
      <rPr>
        <sz val="10"/>
        <rFont val="Gill Sans MT"/>
        <family val="2"/>
      </rPr>
      <t>The NSCG sampling frame for new sample cases included the following eligibility requirements:</t>
    </r>
  </si>
  <si>
    <r>
      <rPr>
        <sz val="6"/>
        <rFont val="Arial"/>
        <family val="2"/>
      </rPr>
      <t xml:space="preserve">●     </t>
    </r>
    <r>
      <rPr>
        <sz val="10"/>
        <rFont val="Gill Sans MT"/>
        <family val="2"/>
      </rPr>
      <t xml:space="preserve">Were residing in the United States or Puerto Rico as of the ACS interview date
</t>
    </r>
    <r>
      <rPr>
        <sz val="6"/>
        <rFont val="Arial"/>
        <family val="2"/>
      </rPr>
      <t xml:space="preserve">●     </t>
    </r>
    <r>
      <rPr>
        <sz val="10"/>
        <rFont val="Gill Sans MT"/>
        <family val="2"/>
      </rPr>
      <t xml:space="preserve">Were noninstitutionalized as of the ACS interview date
</t>
    </r>
    <r>
      <rPr>
        <sz val="6"/>
        <rFont val="Arial"/>
        <family val="2"/>
      </rPr>
      <t xml:space="preserve">●     </t>
    </r>
    <r>
      <rPr>
        <sz val="10"/>
        <rFont val="Gill Sans MT"/>
        <family val="2"/>
      </rPr>
      <t xml:space="preserve">Had earned at least a bachelor’s degree as of the ACS interview date
</t>
    </r>
    <r>
      <rPr>
        <sz val="6"/>
        <rFont val="Arial"/>
        <family val="2"/>
      </rPr>
      <t xml:space="preserve">●     </t>
    </r>
    <r>
      <rPr>
        <sz val="10"/>
        <rFont val="Gill Sans MT"/>
        <family val="2"/>
      </rPr>
      <t xml:space="preserve">Would be under the age of 76 as of 1 February 2021
</t>
    </r>
    <r>
      <rPr>
        <sz val="6"/>
        <rFont val="Arial"/>
        <family val="2"/>
      </rPr>
      <t xml:space="preserve">●     </t>
    </r>
    <r>
      <rPr>
        <sz val="10"/>
        <rFont val="Gill Sans MT"/>
        <family val="2"/>
      </rPr>
      <t>Did not have an inaccurate name or incomplete address on the ACS data file</t>
    </r>
  </si>
  <si>
    <r>
      <rPr>
        <sz val="10"/>
        <rFont val="Gill Sans MT"/>
        <family val="2"/>
      </rPr>
      <t xml:space="preserve">Returning sample cases from the 2019 NSCG originated from three different frames (the 2013 ACS, 2015 ACS, and 2017
</t>
    </r>
    <r>
      <rPr>
        <sz val="10"/>
        <rFont val="Gill Sans MT"/>
        <family val="2"/>
      </rPr>
      <t>ACS) and had the following eligibility requirements:</t>
    </r>
  </si>
  <si>
    <r>
      <rPr>
        <sz val="6"/>
        <rFont val="Arial"/>
        <family val="2"/>
      </rPr>
      <t xml:space="preserve">●     </t>
    </r>
    <r>
      <rPr>
        <sz val="10"/>
        <rFont val="Gill Sans MT"/>
        <family val="2"/>
      </rPr>
      <t xml:space="preserve">Were a complete interview or temporarily ineligible during their initial NSCG survey cycle
</t>
    </r>
    <r>
      <rPr>
        <sz val="6"/>
        <rFont val="Arial"/>
        <family val="2"/>
      </rPr>
      <t xml:space="preserve">●     </t>
    </r>
    <r>
      <rPr>
        <sz val="10"/>
        <rFont val="Gill Sans MT"/>
        <family val="2"/>
      </rPr>
      <t xml:space="preserve">Would be under the age of 76 as of 1 February 2021
</t>
    </r>
    <r>
      <rPr>
        <sz val="6"/>
        <rFont val="Arial"/>
        <family val="2"/>
      </rPr>
      <t xml:space="preserve">●     </t>
    </r>
    <r>
      <rPr>
        <sz val="10"/>
        <rFont val="Gill Sans MT"/>
        <family val="2"/>
      </rPr>
      <t>During the 2019 NSCG survey cycle, did not refuse to participate and request to be excluded from future NSCG cycles</t>
    </r>
  </si>
  <si>
    <r>
      <rPr>
        <i/>
        <sz val="10"/>
        <rFont val="Gill Sans MT"/>
        <family val="2"/>
      </rPr>
      <t>Sample design</t>
    </r>
    <r>
      <rPr>
        <sz val="10"/>
        <rFont val="Gill Sans MT"/>
        <family val="2"/>
      </rPr>
      <t xml:space="preserve">. The NSCG sample design is cross-sectional with a rotating panel element. As a cross-sectional study, the NSCG provides estimates of the size and characteristics of the college graduate population for a point in time. As part of the rotating panel design, every new panel receives a baseline survey interview and three biennial follow-up interviews before rotating out of the survey.
</t>
    </r>
    <r>
      <rPr>
        <sz val="10"/>
        <rFont val="Gill Sans MT"/>
        <family val="2"/>
      </rPr>
      <t xml:space="preserve">The NSCG uses a stratified sampling design to select its sample from the eligible sampling frame. In the new sample,
</t>
    </r>
    <r>
      <rPr>
        <sz val="10"/>
        <rFont val="Gill Sans MT"/>
        <family val="2"/>
      </rPr>
      <t>cases were selected using systematic probability proportional to size (PPS) sampling.</t>
    </r>
    <r>
      <rPr>
        <vertAlign val="superscript"/>
        <sz val="6.5"/>
        <color rgb="FF005394"/>
        <rFont val="Gill Sans MT"/>
        <family val="2"/>
      </rPr>
      <t xml:space="preserve">2 </t>
    </r>
    <r>
      <rPr>
        <sz val="10"/>
        <rFont val="Gill Sans MT"/>
        <family val="2"/>
      </rPr>
      <t>Among the returning sample, all eligible cases were selected. The sampling strata were defined by the cross-classification of the following four variables:</t>
    </r>
  </si>
  <si>
    <r>
      <rPr>
        <sz val="6"/>
        <rFont val="Arial"/>
        <family val="2"/>
      </rPr>
      <t xml:space="preserve">●     </t>
    </r>
    <r>
      <rPr>
        <sz val="10"/>
        <rFont val="Gill Sans MT"/>
        <family val="2"/>
      </rPr>
      <t xml:space="preserve">Young graduate oversample group eligibility indicator (2 levels)
</t>
    </r>
    <r>
      <rPr>
        <sz val="6"/>
        <rFont val="Arial"/>
        <family val="2"/>
      </rPr>
      <t xml:space="preserve">●     </t>
    </r>
    <r>
      <rPr>
        <sz val="10"/>
        <rFont val="Gill Sans MT"/>
        <family val="2"/>
      </rPr>
      <t xml:space="preserve">Demographic group (9 levels)
</t>
    </r>
    <r>
      <rPr>
        <sz val="6"/>
        <rFont val="Arial"/>
        <family val="2"/>
      </rPr>
      <t xml:space="preserve">●     </t>
    </r>
    <r>
      <rPr>
        <sz val="10"/>
        <rFont val="Gill Sans MT"/>
        <family val="2"/>
      </rPr>
      <t xml:space="preserve">Highest degree type (3 levels)
</t>
    </r>
    <r>
      <rPr>
        <sz val="6"/>
        <rFont val="Arial"/>
        <family val="2"/>
      </rPr>
      <t xml:space="preserve">●     </t>
    </r>
    <r>
      <rPr>
        <sz val="10"/>
        <rFont val="Gill Sans MT"/>
        <family val="2"/>
      </rPr>
      <t>Detailed occupation group (25 levels)</t>
    </r>
  </si>
  <si>
    <r>
      <rPr>
        <sz val="10"/>
        <rFont val="Gill Sans MT"/>
        <family val="2"/>
      </rPr>
      <t xml:space="preserve">As has been the case since the 2013 NSCG, the 2021 NSCG includes an oversample of young graduates to improve the precision of estimates for this important population. The 2021 NSCG includes approximately 164,000 sample cases
</t>
    </r>
    <r>
      <rPr>
        <sz val="10"/>
        <rFont val="Gill Sans MT"/>
        <family val="2"/>
      </rPr>
      <t>drawn from the following:</t>
    </r>
  </si>
  <si>
    <r>
      <rPr>
        <sz val="6"/>
        <rFont val="Arial"/>
        <family val="2"/>
      </rPr>
      <t xml:space="preserve">●     </t>
    </r>
    <r>
      <rPr>
        <sz val="10"/>
        <rFont val="Gill Sans MT"/>
        <family val="2"/>
      </rPr>
      <t xml:space="preserve">Returning sample from the 2019 NSCG who were originally selected from the 2013 ACS
</t>
    </r>
    <r>
      <rPr>
        <sz val="6"/>
        <rFont val="Arial"/>
        <family val="2"/>
      </rPr>
      <t xml:space="preserve">●     </t>
    </r>
    <r>
      <rPr>
        <sz val="10"/>
        <rFont val="Gill Sans MT"/>
        <family val="2"/>
      </rPr>
      <t xml:space="preserve">Returning sample from the 2019 NSCG who were originally selected from the 2015 ACS
</t>
    </r>
    <r>
      <rPr>
        <sz val="6"/>
        <rFont val="Arial"/>
        <family val="2"/>
      </rPr>
      <t xml:space="preserve">●     </t>
    </r>
    <r>
      <rPr>
        <sz val="10"/>
        <rFont val="Gill Sans MT"/>
        <family val="2"/>
      </rPr>
      <t xml:space="preserve">Returning sample from the 2019 NSCG who were originally selected from the 2017 ACS
</t>
    </r>
    <r>
      <rPr>
        <sz val="6"/>
        <rFont val="Arial"/>
        <family val="2"/>
      </rPr>
      <t xml:space="preserve">●     </t>
    </r>
    <r>
      <rPr>
        <sz val="10"/>
        <rFont val="Gill Sans MT"/>
        <family val="2"/>
      </rPr>
      <t>New sample selected from the 2019 ACS</t>
    </r>
  </si>
  <si>
    <r>
      <rPr>
        <sz val="10"/>
        <rFont val="Gill Sans MT"/>
        <family val="2"/>
      </rPr>
      <t xml:space="preserve">Approximately 90,000 cases were selected from the returning sample members for one of the three biennial follow-up interviews that are part of the rotating panel design. For the baseline survey interview, about 74,000 new sample cases
</t>
    </r>
    <r>
      <rPr>
        <sz val="10"/>
        <rFont val="Gill Sans MT"/>
        <family val="2"/>
      </rPr>
      <t>were selected from the 2019 ACS.</t>
    </r>
  </si>
  <si>
    <r>
      <rPr>
        <b/>
        <sz val="13.5"/>
        <rFont val="Gill Sans MT"/>
        <family val="2"/>
      </rPr>
      <t xml:space="preserve">Data Collection and Processing Methods
</t>
    </r>
    <r>
      <rPr>
        <i/>
        <sz val="10"/>
        <rFont val="Gill Sans MT"/>
        <family val="2"/>
      </rPr>
      <t>Data collection</t>
    </r>
    <r>
      <rPr>
        <sz val="10"/>
        <rFont val="Gill Sans MT"/>
        <family val="2"/>
      </rPr>
      <t xml:space="preserve">. The data collection period lasted approximately 7 months (8 April 2021 to 1 November 2021). The NSCG used a trimodal data collection approach: self-administered online survey (Web), self-administered paper questionnaire (via mail), and computer-assisted telephone interview (CATI). Individuals in the sample generally were started in the Web mode, depending on their available contact information and past preference. After an initial survey invitation, the data collection protocol included sequential contacts by postal mail, e-mail, and telephone that ran throughout the data collection period. At any time during data collection, sample members could choose to complete the survey using any of the three modes. Nonrespondents to the initial survey invitation received follow-up contacts via alternate modes.
</t>
    </r>
    <r>
      <rPr>
        <sz val="10"/>
        <rFont val="Gill Sans MT"/>
        <family val="2"/>
      </rPr>
      <t xml:space="preserve">Quality assurance procedures were in place at each data collection step (e.g., address updating, printing, package assembly and mailing, questionnaire receipt, data entry, CATI, coding, and post-data collection processing).
</t>
    </r>
    <r>
      <rPr>
        <i/>
        <sz val="10"/>
        <rFont val="Gill Sans MT"/>
        <family val="2"/>
      </rPr>
      <t>Mode</t>
    </r>
    <r>
      <rPr>
        <sz val="10"/>
        <rFont val="Gill Sans MT"/>
        <family val="2"/>
      </rPr>
      <t xml:space="preserve">. About 89% of the participants completed the survey by Web, 7% by mail, and 4% by CATI.
</t>
    </r>
    <r>
      <rPr>
        <i/>
        <sz val="10"/>
        <rFont val="Gill Sans MT"/>
        <family val="2"/>
      </rPr>
      <t>Response rates</t>
    </r>
    <r>
      <rPr>
        <sz val="10"/>
        <rFont val="Gill Sans MT"/>
        <family val="2"/>
      </rPr>
      <t xml:space="preserve">. Response rates were calculated on complete responses, that is, from instruments with responses to all critical items. Critical items are those containing information needed to report labor force participation (including employment status, job title, and job description), college education (including degree type, degree date, and field of study), and location of residency on the reference date. The overall unweighted response rate was 67%; the weighted response rate was 65%. Of the roughly 164,000 persons in the 2021 NSCG sample, 106,279 completed the survey.
</t>
    </r>
    <r>
      <rPr>
        <i/>
        <sz val="10"/>
        <rFont val="Gill Sans MT"/>
        <family val="2"/>
      </rPr>
      <t xml:space="preserve">Data editing. </t>
    </r>
    <r>
      <rPr>
        <sz val="10"/>
        <rFont val="Gill Sans MT"/>
        <family val="2"/>
      </rPr>
      <t xml:space="preserve">Response data had initial editing rules applied relative to the specific mode of capture to check internal consistency and valid range of response. The Web survey captured most of the survey responses and had internal editing controls where appropriate. A computer-assisted data entry (CADE) system was used to process the mailed paper forms. Responses from the three separate modes were merged for subsequent coding, editing, and cleaning necessary to create an analytical database.
</t>
    </r>
    <r>
      <rPr>
        <sz val="10"/>
        <rFont val="Gill Sans MT"/>
        <family val="2"/>
      </rPr>
      <t xml:space="preserve">Following established NCSES guidelines for coding NSCG survey data, including verbatim responses, staff were trained in conducting a standardized review and coding of occupation and education information, certifications, “other/specify” verbatim responses, state and country geographical information, and postsecondary institution information. For standardized coding of occupation (including auto-coding), the respondent's reported job title, duties and responsibilities, and other work-related information from the questionnaire were reviewed by specially trained coders who corrected respondents’ self-reporting errors to obtain the best occupation codes. For standardized coding of field of study associated with any reported degree (including auto-coding), the respondent’s reported department, degree level, and field of study information from the questionnaire were reviewed by specially trained coders who corrected respondents’ self- reporting errors to obtain the best field of study codes.
</t>
    </r>
    <r>
      <rPr>
        <i/>
        <sz val="10"/>
        <rFont val="Gill Sans MT"/>
        <family val="2"/>
      </rPr>
      <t xml:space="preserve">Imputation. </t>
    </r>
    <r>
      <rPr>
        <sz val="10"/>
        <rFont val="Gill Sans MT"/>
        <family val="2"/>
      </rPr>
      <t xml:space="preserve">Logical imputation was primarily accomplished as part of editing. In the editing phase, the answer to a question with missing data was sometimes determined by the answer to another question. In some circumstances, editing procedures found inconsistent data that were blanked out and therefore subject to statistical imputation.
</t>
    </r>
    <r>
      <rPr>
        <sz val="10"/>
        <rFont val="Gill Sans MT"/>
        <family val="2"/>
      </rPr>
      <t>The item nonresponse rates reflect data missing after logical imputation or editing but before statistical imputation. For key employment items—such as employment status, sector of employment, and primary work activity—the item nonresponse rates ranged from 0.0% to 1.1%. Nonresponse to questions deemed sensitive was higher: nonresponse to salary and earned income was 5.4% and 7.8%, respectively, for the new sample members and 4.7% and 6.8%, respectively, for the returning members. Personal demographic data of the new sample members had variable item nonresponse rates, with sex at 0.00%, birth year at 0.04%, marital status at 0.6%, citizenship at 0.4%, ethnicity at 1.4%, and race at 3.1%. The nonresponse rates for returning sample members were 0.8% for marital status and 0.7% for citizenship.</t>
    </r>
  </si>
  <si>
    <r>
      <rPr>
        <sz val="10"/>
        <rFont val="Gill Sans MT"/>
        <family val="2"/>
      </rPr>
      <t xml:space="preserve">Item nonresponse was typically addressed using statistical imputation methods. Most NSCG variables were subjected to hot-deck imputation, with each variable having its own class and sort variables chosen by regression modeling to identify nearest neighbors for imputed information. For some variables, there was no set of class and sort variables that was reliably related to or suitable for predicting the missing value, such as day of birth. In these instances, random imputation was used, so that the distribution of imputed values was similar to the distribution of reported values without using class or sort variables.
</t>
    </r>
    <r>
      <rPr>
        <sz val="10"/>
        <rFont val="Gill Sans MT"/>
        <family val="2"/>
      </rPr>
      <t xml:space="preserve">Imputation was not performed on critical items or on verbatim-based variables. In addition, for some missing demographic information, the NSCG imported the corresponding data from the ACS, which had performed its own imputation.
</t>
    </r>
    <r>
      <rPr>
        <i/>
        <sz val="10"/>
        <rFont val="Gill Sans MT"/>
        <family val="2"/>
      </rPr>
      <t xml:space="preserve">Weighting. </t>
    </r>
    <r>
      <rPr>
        <sz val="10"/>
        <rFont val="Gill Sans MT"/>
        <family val="2"/>
      </rPr>
      <t>Because the NSCG is based on a complex sampling design and subject to nonresponse bias, sampling weights were created for each respondent to support unbiased population estimates. The final analysis weights account for several factors, including the following:</t>
    </r>
  </si>
  <si>
    <r>
      <rPr>
        <sz val="6"/>
        <rFont val="Arial"/>
        <family val="2"/>
      </rPr>
      <t xml:space="preserve">●     </t>
    </r>
    <r>
      <rPr>
        <sz val="10"/>
        <rFont val="Gill Sans MT"/>
        <family val="2"/>
      </rPr>
      <t xml:space="preserve">Adjustments to account for undercoverage of recent immigrants and undercoverage of recent degree-earners
</t>
    </r>
    <r>
      <rPr>
        <sz val="6"/>
        <rFont val="Arial"/>
        <family val="2"/>
      </rPr>
      <t xml:space="preserve">●     </t>
    </r>
    <r>
      <rPr>
        <sz val="10"/>
        <rFont val="Gill Sans MT"/>
        <family val="2"/>
      </rPr>
      <t xml:space="preserve">Adjustment for incorrect names or incomplete address information on the sampling frame
</t>
    </r>
    <r>
      <rPr>
        <sz val="6"/>
        <rFont val="Arial"/>
        <family val="2"/>
      </rPr>
      <t xml:space="preserve">●     </t>
    </r>
    <r>
      <rPr>
        <sz val="10"/>
        <rFont val="Gill Sans MT"/>
        <family val="2"/>
      </rPr>
      <t xml:space="preserve">Differential sampling rates
</t>
    </r>
    <r>
      <rPr>
        <sz val="6"/>
        <rFont val="Arial"/>
        <family val="2"/>
      </rPr>
      <t xml:space="preserve">●     </t>
    </r>
    <r>
      <rPr>
        <sz val="10"/>
        <rFont val="Gill Sans MT"/>
        <family val="2"/>
      </rPr>
      <t xml:space="preserve">Adjustments to account for non-locatability and unit nonresponse
</t>
    </r>
    <r>
      <rPr>
        <sz val="6"/>
        <rFont val="Arial"/>
        <family val="2"/>
      </rPr>
      <t xml:space="preserve">●     </t>
    </r>
    <r>
      <rPr>
        <sz val="10"/>
        <rFont val="Gill Sans MT"/>
        <family val="2"/>
      </rPr>
      <t xml:space="preserve">Adjustments to align the sample distribution with population controls
</t>
    </r>
    <r>
      <rPr>
        <sz val="6"/>
        <rFont val="Arial"/>
        <family val="2"/>
      </rPr>
      <t xml:space="preserve">●     </t>
    </r>
    <r>
      <rPr>
        <sz val="10"/>
        <rFont val="Gill Sans MT"/>
        <family val="2"/>
      </rPr>
      <t xml:space="preserve">Trimming of extreme weights
</t>
    </r>
    <r>
      <rPr>
        <sz val="6"/>
        <rFont val="Arial"/>
        <family val="2"/>
      </rPr>
      <t xml:space="preserve">●     </t>
    </r>
    <r>
      <rPr>
        <sz val="10"/>
        <rFont val="Gill Sans MT"/>
        <family val="2"/>
      </rPr>
      <t>Overlap procedures to convert weights that reflect the population of each individual frame (2013 ACS, 2015 ACS, 2017 ACS, and 2019 ACS) into a final sample weight that reflects the 2021 NSCG target population</t>
    </r>
  </si>
  <si>
    <r>
      <rPr>
        <sz val="10"/>
        <rFont val="Gill Sans MT"/>
        <family val="2"/>
      </rPr>
      <t xml:space="preserve">The final sample weights enable data users to derive survey-based estimates of the NSCG target population. The variable name on the NSCG public use data files for the NSCG final sample weight is WTSURVY.
</t>
    </r>
    <r>
      <rPr>
        <i/>
        <sz val="10"/>
        <rFont val="Gill Sans MT"/>
        <family val="2"/>
      </rPr>
      <t xml:space="preserve">Variance estimation. </t>
    </r>
    <r>
      <rPr>
        <sz val="10"/>
        <rFont val="Gill Sans MT"/>
        <family val="2"/>
      </rPr>
      <t xml:space="preserve">The successive difference replication method (SDRM) was used to develop replicate weights for variance estimation. The theoretical basis for the SDRM is described in Wolter (1984) and in Fay and Train (1995). As with any replication method, successive difference replication involves constructing numerous subsamples (replicates) from the full sample and computing the statistic of interest for each replicate. The mean square error of the replicate estimates around their corresponding full sample estimate provides an estimate of the sampling variance of the statistic of interest. The 2021 NSCG produced 320 sets of replicate weights.
</t>
    </r>
    <r>
      <rPr>
        <i/>
        <sz val="10"/>
        <rFont val="Gill Sans MT"/>
        <family val="2"/>
      </rPr>
      <t xml:space="preserve">Disclosure protection. </t>
    </r>
    <r>
      <rPr>
        <sz val="10"/>
        <rFont val="Gill Sans MT"/>
        <family val="2"/>
      </rPr>
      <t xml:space="preserve">To protect against the disclosure of confidential information provided by NSCG respondents, the estimates presented in NSCG data tables are rounded to the nearest 1,000.
</t>
    </r>
    <r>
      <rPr>
        <sz val="10"/>
        <rFont val="Gill Sans MT"/>
        <family val="2"/>
      </rPr>
      <t xml:space="preserve">Data table cell values based on counts of respondents that fall below a predetermined threshold are deemed to be
</t>
    </r>
    <r>
      <rPr>
        <sz val="10"/>
        <rFont val="Gill Sans MT"/>
        <family val="2"/>
      </rPr>
      <t>sensitive to potential disclosure, and the letter “D” indicates this type of suppression in a table cell.</t>
    </r>
  </si>
  <si>
    <r>
      <rPr>
        <b/>
        <sz val="13.5"/>
        <rFont val="Gill Sans MT"/>
        <family val="2"/>
      </rPr>
      <t xml:space="preserve">Survey Quality Measures
</t>
    </r>
    <r>
      <rPr>
        <i/>
        <sz val="10"/>
        <rFont val="Gill Sans MT"/>
        <family val="2"/>
      </rPr>
      <t xml:space="preserve">Sampling error. </t>
    </r>
    <r>
      <rPr>
        <sz val="10"/>
        <rFont val="Gill Sans MT"/>
        <family val="2"/>
      </rPr>
      <t>NSCG estimates are subject to sampling errors. Estimates of sampling errors associated with this survey were calculated using replicate weights. Data table estimates with coefficients of variation (that is, the estimate divided by the standard error) that exceed a predetermined threshold are deemed unreliable and are suppressed. The letter “S” indicates this type of suppression in a table cell.</t>
    </r>
  </si>
  <si>
    <r>
      <rPr>
        <i/>
        <sz val="10"/>
        <rFont val="Gill Sans MT"/>
        <family val="2"/>
      </rPr>
      <t xml:space="preserve">Coverage error. </t>
    </r>
    <r>
      <rPr>
        <sz val="10"/>
        <rFont val="Gill Sans MT"/>
        <family val="2"/>
      </rPr>
      <t xml:space="preserve">Coverage error occurs in sample estimates when the sampling frame does not accurately represent the target population and is a type of nonsampling error. Any missed housing units or missed individuals within sample households in the ACS would create undercoverage in the NSCG. Additional undercoverage errors may exist because of self-reporting errors in the NSCG sampling frame that led to incorrect classification of individuals as not having a bachelor's degree or higher when in fact they held such a degree.
</t>
    </r>
    <r>
      <rPr>
        <i/>
        <sz val="10"/>
        <rFont val="Gill Sans MT"/>
        <family val="2"/>
      </rPr>
      <t xml:space="preserve">Nonresponse error. </t>
    </r>
    <r>
      <rPr>
        <sz val="10"/>
        <rFont val="Gill Sans MT"/>
        <family val="2"/>
      </rPr>
      <t xml:space="preserve">The weighted response rate for the 2021 NSCG was 65%; the unweighted response rate was 67%. Analyses of NSCG nonresponse trends were used to develop nonresponse weighting adjustments to minimize the potential for nonresponse bias in the NSCG estimates. A hot deck imputation method was used to compensate for item nonresponse.
</t>
    </r>
    <r>
      <rPr>
        <i/>
        <sz val="10"/>
        <rFont val="Gill Sans MT"/>
        <family val="2"/>
      </rPr>
      <t xml:space="preserve">Measurement error. </t>
    </r>
    <r>
      <rPr>
        <sz val="10"/>
        <rFont val="Gill Sans MT"/>
        <family val="2"/>
      </rPr>
      <t>The NSCG is subject to reporting errors from differences in interpretation of questions and by modality (Web, mail, CATI). To reduce measurement errors, the NSCG questionnaire items were pretested in focus groups and cognitive interviews.</t>
    </r>
  </si>
  <si>
    <r>
      <rPr>
        <b/>
        <sz val="13.5"/>
        <rFont val="Gill Sans MT"/>
        <family val="2"/>
      </rPr>
      <t xml:space="preserve">Data Comparability and Changes
</t>
    </r>
    <r>
      <rPr>
        <i/>
        <sz val="10"/>
        <rFont val="Gill Sans MT"/>
        <family val="2"/>
      </rPr>
      <t xml:space="preserve">Data comparability. </t>
    </r>
    <r>
      <rPr>
        <sz val="10"/>
        <rFont val="Gill Sans MT"/>
        <family val="2"/>
      </rPr>
      <t xml:space="preserve">Year-to-year comparisons of the nation’s college-educated population can be made among the 1993,
</t>
    </r>
    <r>
      <rPr>
        <sz val="10"/>
        <rFont val="Gill Sans MT"/>
        <family val="2"/>
      </rPr>
      <t xml:space="preserve">2003, 2010, 2013, 2015, 2017, 2019, and 2021 survey cycles because many of the core questions remained the same. Since the 1995, 1997, 1999, 2006, and 2008 surveys do not provide full coverage of the nation’s college-educated population, any comparison between these cycles and other cycles should be limited to those individuals educated or employed in S&amp;E fields.
</t>
    </r>
    <r>
      <rPr>
        <sz val="10"/>
        <rFont val="Gill Sans MT"/>
        <family val="2"/>
      </rPr>
      <t xml:space="preserve">Small but notable differences exist across some survey cycles, however, such as the collection of occupation and education data based on more recent taxonomies. Also, because of the use of different reference months in some survey cycles, seasonal differences may occur when making comparisons across years. Thus, use caution when interpreting cross-cycle comparisons.
</t>
    </r>
    <r>
      <rPr>
        <sz val="10"/>
        <rFont val="Gill Sans MT"/>
        <family val="2"/>
      </rPr>
      <t xml:space="preserve">There is overlap in the cases included in the 2010 NSCG through the 2017 NSCG, in the 2013 NSCG through the 2019 NSCG, and in the 2015 NSCG through the 2021 NSCG (see </t>
    </r>
    <r>
      <rPr>
        <sz val="10"/>
        <color rgb="FF004E9D"/>
        <rFont val="Gill Sans MT"/>
        <family val="2"/>
      </rPr>
      <t>figure 1</t>
    </r>
    <r>
      <rPr>
        <sz val="10"/>
        <rFont val="Gill Sans MT"/>
        <family val="2"/>
      </rPr>
      <t xml:space="preserve">). The overlap among cases allows for longitudinal analysis of a subset of the NSCG sample using restricted use data files within NCSES’ Secure Data Access Facility (SDAF). Cases can be linked across survey years using a unique identification variable and single-frame weights are available for each survey year, allowing for the evaluation of estimates from each frame independently. If you are interested in applying for a license to access restricted use NSCG data via the SDAF, please visit </t>
    </r>
    <r>
      <rPr>
        <sz val="10"/>
        <color rgb="FF004E9D"/>
        <rFont val="Gill Sans MT"/>
        <family val="2"/>
      </rPr>
      <t>NCSES Restricted-Use Data Procedures Guide</t>
    </r>
    <r>
      <rPr>
        <sz val="10"/>
        <rFont val="Gill Sans MT"/>
        <family val="2"/>
      </rPr>
      <t xml:space="preserve">. Moreover, the Census Bureau offers NSCG restricted use data files that include a few additional data elements. These files can be accessed via the </t>
    </r>
    <r>
      <rPr>
        <sz val="10"/>
        <color rgb="FF004E9D"/>
        <rFont val="Gill Sans MT"/>
        <family val="2"/>
      </rPr>
      <t>Federal Statistical Research Data Centers</t>
    </r>
    <r>
      <rPr>
        <sz val="10"/>
        <rFont val="Gill Sans MT"/>
        <family val="2"/>
      </rPr>
      <t>.</t>
    </r>
  </si>
  <si>
    <r>
      <rPr>
        <b/>
        <sz val="8"/>
        <color rgb="FF3F3F3F"/>
        <rFont val="Gill Sans MT"/>
        <family val="2"/>
      </rPr>
      <t xml:space="preserve">FIGURE 1
</t>
    </r>
    <r>
      <rPr>
        <b/>
        <sz val="9"/>
        <rFont val="Trebuchet MS"/>
        <family val="2"/>
      </rPr>
      <t>Rotating panel design and sample sizes for the National Survey of College Graduates: 2010–21</t>
    </r>
  </si>
  <si>
    <r>
      <rPr>
        <sz val="8"/>
        <rFont val="Gill Sans MT"/>
        <family val="2"/>
      </rPr>
      <t xml:space="preserve">ACS = American Community Survey; NSCG = National Survey of College Graduates; NSRCG = National Survey of Recent College Graduates.
</t>
    </r>
    <r>
      <rPr>
        <b/>
        <sz val="8"/>
        <rFont val="Gill Sans MT"/>
        <family val="2"/>
      </rPr>
      <t xml:space="preserve">Note(s):
</t>
    </r>
    <r>
      <rPr>
        <sz val="8"/>
        <rFont val="Gill Sans MT"/>
        <family val="2"/>
      </rPr>
      <t xml:space="preserve">During a panel’s second survey cycle (in which it is part of the returning sample for the first time), its members include individuals who responded or who were temporarily ineligible during the first cycle. During a panel’s third and fourth cycles, its members include all respondents, nonrespondents, and temporarily ineligible cases from the preceding cycle. Beginning in 2013, the NSCG transitioned to a design that includes an oversample of young graduates to improve the precision of estimates for this important population.
</t>
    </r>
    <r>
      <rPr>
        <b/>
        <sz val="8"/>
        <rFont val="Gill Sans MT"/>
        <family val="2"/>
      </rPr>
      <t xml:space="preserve">Source(s):
</t>
    </r>
    <r>
      <rPr>
        <sz val="8"/>
        <rFont val="Gill Sans MT"/>
        <family val="2"/>
      </rPr>
      <t>National Center for Science and Engineering Statistics, National Science Foundation, National Survey of College Graduates.</t>
    </r>
  </si>
  <si>
    <r>
      <rPr>
        <i/>
        <sz val="10"/>
        <rFont val="Gill Sans MT"/>
        <family val="2"/>
      </rPr>
      <t xml:space="preserve">Changes in survey coverage and population. </t>
    </r>
    <r>
      <rPr>
        <sz val="10"/>
        <rFont val="Gill Sans MT"/>
        <family val="2"/>
      </rPr>
      <t xml:space="preserve">None.
</t>
    </r>
    <r>
      <rPr>
        <i/>
        <sz val="10"/>
        <rFont val="Gill Sans MT"/>
        <family val="2"/>
      </rPr>
      <t>Changes in questionnaire</t>
    </r>
  </si>
  <si>
    <r>
      <rPr>
        <sz val="6"/>
        <rFont val="Arial"/>
        <family val="2"/>
      </rPr>
      <t xml:space="preserve">●     </t>
    </r>
    <r>
      <rPr>
        <sz val="10"/>
        <rFont val="Gill Sans MT"/>
        <family val="2"/>
      </rPr>
      <t xml:space="preserve">2021. To gauge the effects of the coronavirus pandemic on employment, the content of the NSCG questionnaire was
</t>
    </r>
    <r>
      <rPr>
        <sz val="10"/>
        <rFont val="Gill Sans MT"/>
        <family val="2"/>
      </rPr>
      <t>modified for 2021 in two ways:</t>
    </r>
  </si>
  <si>
    <r>
      <rPr>
        <sz val="10"/>
        <rFont val="Gill Sans MT"/>
        <family val="2"/>
      </rPr>
      <t xml:space="preserve">1.   The response options of long-standing items were revised to identify pandemic-related consequences: for example, reasons for not working, reasons for working part time, reasons for changing employment, and available job benefits.
</t>
    </r>
    <r>
      <rPr>
        <sz val="10"/>
        <rFont val="Gill Sans MT"/>
        <family val="2"/>
      </rPr>
      <t>2.   New items were added to understand the effects of the pandemic on salaries and earnings and to measure the prevalence of telework.</t>
    </r>
  </si>
  <si>
    <r>
      <rPr>
        <sz val="6"/>
        <rFont val="Arial"/>
        <family val="2"/>
      </rPr>
      <t xml:space="preserve">●     </t>
    </r>
    <r>
      <rPr>
        <sz val="10"/>
        <rFont val="Gill Sans MT"/>
        <family val="2"/>
      </rPr>
      <t xml:space="preserve">2019. The content of the 2019 NSCG questionnaire remained unchanged from the 2017 NSCG version.
</t>
    </r>
    <r>
      <rPr>
        <sz val="6"/>
        <rFont val="Arial"/>
        <family val="2"/>
      </rPr>
      <t xml:space="preserve">●     </t>
    </r>
    <r>
      <rPr>
        <sz val="10"/>
        <rFont val="Gill Sans MT"/>
        <family val="2"/>
      </rPr>
      <t xml:space="preserve">2017. The 2017 NSCG questionnaire added two new questions about U.S. military veteran status that are asked on the ACS.
</t>
    </r>
    <r>
      <rPr>
        <sz val="6"/>
        <rFont val="Arial"/>
        <family val="2"/>
      </rPr>
      <t xml:space="preserve">●     </t>
    </r>
    <r>
      <rPr>
        <sz val="10"/>
        <rFont val="Gill Sans MT"/>
        <family val="2"/>
      </rPr>
      <t>2015. The 2015 NSCG questionnaire added a section on professional certifications and licenses.</t>
    </r>
  </si>
  <si>
    <r>
      <rPr>
        <sz val="6"/>
        <rFont val="Arial"/>
        <family val="2"/>
      </rPr>
      <t xml:space="preserve">●     </t>
    </r>
    <r>
      <rPr>
        <sz val="10"/>
        <rFont val="Gill Sans MT"/>
        <family val="2"/>
      </rPr>
      <t xml:space="preserve">2013. The 2013 NSCG questionnaire added questions about attendance at community colleges, amounts borrowed to finance undergraduate and graduate degrees, and sources of financial support for undergraduate and graduate degrees. The 2013 questionnaire also differed from the 2010 questionnaire by splitting the first response category for the indicator of sample member location on the survey reference date into two categories. “United States, Puerto Rico, or another U.S. territory” became “United States or Puerto Rico” and “Another U.S. territory.”
</t>
    </r>
    <r>
      <rPr>
        <sz val="6"/>
        <rFont val="Arial"/>
        <family val="2"/>
      </rPr>
      <t xml:space="preserve">●     </t>
    </r>
    <r>
      <rPr>
        <sz val="10"/>
        <rFont val="Gill Sans MT"/>
        <family val="2"/>
      </rPr>
      <t xml:space="preserve">2010. The 2010 NSCG questionnaire added items on components of job satisfaction, importance of job benefits, year
</t>
    </r>
    <r>
      <rPr>
        <sz val="10"/>
        <rFont val="Gill Sans MT"/>
        <family val="2"/>
      </rPr>
      <t>of retirement, whether employer is a new business, and degree of difficulty concentrating, remembering, or making decisions.</t>
    </r>
  </si>
  <si>
    <r>
      <rPr>
        <i/>
        <sz val="10"/>
        <rFont val="Gill Sans MT"/>
        <family val="2"/>
      </rPr>
      <t>Changes in reporting procedures or classification</t>
    </r>
  </si>
  <si>
    <r>
      <rPr>
        <sz val="6"/>
        <rFont val="Arial"/>
        <family val="2"/>
      </rPr>
      <t xml:space="preserve">●     </t>
    </r>
    <r>
      <rPr>
        <sz val="10"/>
        <rFont val="Gill Sans MT"/>
        <family val="2"/>
      </rPr>
      <t>In past years, NSCG data were combined with data from the SDR and the NSRCG to form the Scientists and Engineers Statistical Data System (SESTAT). The last series of tables produced from SESTAT used 2013 NSCG data. Since then, NSCG data have been used in numerous tables for NCSES’s two congressionally mandated reports (</t>
    </r>
    <r>
      <rPr>
        <i/>
        <sz val="10"/>
        <color rgb="FF004E9D"/>
        <rFont val="Gill Sans MT"/>
        <family val="2"/>
      </rPr>
      <t xml:space="preserve">Science and
</t>
    </r>
    <r>
      <rPr>
        <i/>
        <sz val="10"/>
        <color rgb="FF004E9D"/>
        <rFont val="Gill Sans MT"/>
        <family val="2"/>
      </rPr>
      <t xml:space="preserve">Engineering Indicators </t>
    </r>
    <r>
      <rPr>
        <sz val="10"/>
        <rFont val="Gill Sans MT"/>
        <family val="2"/>
      </rPr>
      <t xml:space="preserve">and </t>
    </r>
    <r>
      <rPr>
        <i/>
        <sz val="10"/>
        <color rgb="FF004E9D"/>
        <rFont val="Gill Sans MT"/>
        <family val="2"/>
      </rPr>
      <t>Women, Minorities, and Persons with Disabilities in Science and Engineering</t>
    </r>
    <r>
      <rPr>
        <sz val="10"/>
        <rFont val="Gill Sans MT"/>
        <family val="2"/>
      </rPr>
      <t>).</t>
    </r>
  </si>
  <si>
    <r>
      <rPr>
        <b/>
        <sz val="13.5"/>
        <rFont val="Gill Sans MT"/>
        <family val="2"/>
      </rPr>
      <t xml:space="preserve">Definitions
</t>
    </r>
    <r>
      <rPr>
        <i/>
        <sz val="10"/>
        <rFont val="Gill Sans MT"/>
        <family val="2"/>
      </rPr>
      <t xml:space="preserve">Field of degree. </t>
    </r>
    <r>
      <rPr>
        <sz val="10"/>
        <rFont val="Gill Sans MT"/>
        <family val="2"/>
      </rPr>
      <t xml:space="preserve">NSCG respondents are asked to report each degree they have earned at the bachelor’s level or higher, along with the major field of study for each degree. The 2021 NSCG used a taxonomy of 142 “detailed” fields of study from which respondents could select the field that best represented their major. These 142 “detailed” fields of study were aggregated into 31 “minor” fields, 7 “major” fields, and 3 “broad” fields (S&amp;E, S&amp;E-related, and non-S&amp;E). (See </t>
    </r>
    <r>
      <rPr>
        <sz val="10"/>
        <color rgb="FF004E9D"/>
        <rFont val="Gill Sans MT"/>
        <family val="2"/>
      </rPr>
      <t xml:space="preserve">technical table A-1 </t>
    </r>
    <r>
      <rPr>
        <sz val="10"/>
        <rFont val="Gill Sans MT"/>
        <family val="2"/>
      </rPr>
      <t xml:space="preserve">for a list and classification of fields of study reported in the NSCG.)
</t>
    </r>
    <r>
      <rPr>
        <i/>
        <sz val="10"/>
        <rFont val="Gill Sans MT"/>
        <family val="2"/>
      </rPr>
      <t xml:space="preserve">Full-time and part-time employment. </t>
    </r>
    <r>
      <rPr>
        <sz val="10"/>
        <rFont val="Gill Sans MT"/>
        <family val="2"/>
      </rPr>
      <t xml:space="preserve">Full-time (working 35 hours or more per week) and part-time (working less than 35 hours per week) employment status is for the principal job only and not for all jobs held in the labor force. For example, an individual who works part time in his or her principal job but full time in the labor force would be tabulated as part time.
</t>
    </r>
    <r>
      <rPr>
        <i/>
        <sz val="10"/>
        <rFont val="Gill Sans MT"/>
        <family val="2"/>
      </rPr>
      <t xml:space="preserve">Highest degree level. </t>
    </r>
    <r>
      <rPr>
        <sz val="10"/>
        <rFont val="Gill Sans MT"/>
        <family val="2"/>
      </rPr>
      <t xml:space="preserve">NSCG respondents report the degrees they have earned at the bachelor’s level (e.g., BS, BA, AB), master’s level (e.g., MS, MA, MBA), and doctorate level (e.g., PhD, DSc, EdD), as well as other professional degrees (e.g., JD, LLB, MD, DDS, DVM). Because the NSCG is focused on the S&amp;E workforce, the sampling strategy does not include a special effort to collect professional degrees. As such, there is not always sufficient data for the professional degrees to be displayed separately in the tables.
</t>
    </r>
    <r>
      <rPr>
        <i/>
        <sz val="10"/>
        <rFont val="Gill Sans MT"/>
        <family val="2"/>
      </rPr>
      <t xml:space="preserve">Occupation data. </t>
    </r>
    <r>
      <rPr>
        <sz val="10"/>
        <rFont val="Gill Sans MT"/>
        <family val="2"/>
      </rPr>
      <t xml:space="preserve">The occupational classification of the respondent was based on his or her principal job (including job title) held during the reference week—or on his or her last job held, if not employed in the reference week (survey questions A5 and A6 as well as A16 and A17). Also used in the occupational classification was a respondent-selected job code (survey questions A7 and A18). (See </t>
    </r>
    <r>
      <rPr>
        <sz val="10"/>
        <color rgb="FF004E9D"/>
        <rFont val="Gill Sans MT"/>
        <family val="2"/>
      </rPr>
      <t xml:space="preserve">technical table A-2 </t>
    </r>
    <r>
      <rPr>
        <sz val="10"/>
        <rFont val="Gill Sans MT"/>
        <family val="2"/>
      </rPr>
      <t xml:space="preserve">for a list and classification of occupations reported in the NSCG.)
</t>
    </r>
    <r>
      <rPr>
        <i/>
        <sz val="10"/>
        <rFont val="Gill Sans MT"/>
        <family val="2"/>
      </rPr>
      <t xml:space="preserve">Race and ethnicity. </t>
    </r>
    <r>
      <rPr>
        <sz val="10"/>
        <rFont val="Gill Sans MT"/>
        <family val="2"/>
      </rPr>
      <t xml:space="preserve">Ethnicity is defined as Hispanic or Latino or not Hispanic or Latino. Values for those selecting a single race include American Indian or Alaska Native, Asian, Black or African American, Native Hawaiian or Other Pacific Islander, and White. Those persons who report more than one race and who are not of Hispanic or Latino ethnicity also have a separate value.
</t>
    </r>
    <r>
      <rPr>
        <i/>
        <sz val="10"/>
        <rFont val="Gill Sans MT"/>
        <family val="2"/>
      </rPr>
      <t xml:space="preserve">Salary. </t>
    </r>
    <r>
      <rPr>
        <sz val="10"/>
        <rFont val="Gill Sans MT"/>
        <family val="2"/>
      </rPr>
      <t>Median annual salaries are reported for the principal job, rounded to the nearest $1,000, and computed for individuals employed full time. For individuals employed by educational institutions, no accommodation was made to convert academic year salaries to calendar year salaries.</t>
    </r>
  </si>
  <si>
    <r>
      <rPr>
        <i/>
        <sz val="10"/>
        <rFont val="Gill Sans MT"/>
        <family val="2"/>
      </rPr>
      <t xml:space="preserve">Sector of employment. </t>
    </r>
    <r>
      <rPr>
        <sz val="10"/>
        <rFont val="Gill Sans MT"/>
        <family val="2"/>
      </rPr>
      <t>Employment sector is a derived variable based on responses to questionnaire items A13, A14, and A15. In the data tables, the category 4-year educational institution includes 4-year colleges or universities, medical  schools (including university-affiliated hospitals or medical centers), and university-affiliated research institutes. Two-year and pre-college institutions include community colleges, technical institutes, and other educational institutions (which respondents reported verbatim in the survey questionnaire). For-profit business or industry includes respondents who were self-employed in an incorporated business. Self-employed includes respondents who were self-employed or were a business owner in a non-incorporated business.</t>
    </r>
  </si>
  <si>
    <r>
      <rPr>
        <b/>
        <sz val="13.5"/>
        <rFont val="Gill Sans MT"/>
        <family val="2"/>
      </rPr>
      <t xml:space="preserve">References
</t>
    </r>
    <r>
      <rPr>
        <sz val="10"/>
        <rFont val="Gill Sans MT"/>
        <family val="2"/>
      </rPr>
      <t xml:space="preserve">Fay RE, Train GF. 1995. Aspects of Survey and Model-Based Postcensal Estimation of Income and Poverty Characteristics for States and Counties. </t>
    </r>
    <r>
      <rPr>
        <i/>
        <sz val="10"/>
        <rFont val="Gill Sans MT"/>
        <family val="2"/>
      </rPr>
      <t xml:space="preserve">American Statistical Association Proceedings of the Section on Government Statistics, </t>
    </r>
    <r>
      <rPr>
        <sz val="10"/>
        <rFont val="Gill Sans MT"/>
        <family val="2"/>
      </rPr>
      <t xml:space="preserve">154–59.
</t>
    </r>
    <r>
      <rPr>
        <sz val="10"/>
        <rFont val="Gill Sans MT"/>
        <family val="2"/>
      </rPr>
      <t xml:space="preserve">Wolter K. 1984. An Investigation of Some Estimators of Variance for Systematic Sampling. </t>
    </r>
    <r>
      <rPr>
        <i/>
        <sz val="10"/>
        <rFont val="Gill Sans MT"/>
        <family val="2"/>
      </rPr>
      <t xml:space="preserve">Journal of the American Statistical Association </t>
    </r>
    <r>
      <rPr>
        <sz val="10"/>
        <rFont val="Gill Sans MT"/>
        <family val="2"/>
      </rPr>
      <t>79(388):781–90.</t>
    </r>
  </si>
  <si>
    <r>
      <rPr>
        <b/>
        <sz val="16.5"/>
        <color rgb="FF2060AC"/>
        <rFont val="Gill Sans MT"/>
        <family val="2"/>
      </rPr>
      <t>Technical Tables</t>
    </r>
  </si>
  <si>
    <r>
      <rPr>
        <sz val="9"/>
        <color rgb="FF004E9D"/>
        <rFont val="Gill Sans MT"/>
        <family val="2"/>
      </rPr>
      <t xml:space="preserve">A-1            </t>
    </r>
    <r>
      <rPr>
        <sz val="10"/>
        <rFont val="Gill Sans MT"/>
        <family val="2"/>
      </rPr>
      <t>Fields of study used in the NSCG data tables</t>
    </r>
  </si>
  <si>
    <r>
      <rPr>
        <sz val="9"/>
        <color rgb="FF004E9D"/>
        <rFont val="Gill Sans MT"/>
        <family val="2"/>
      </rPr>
      <t xml:space="preserve">A-2            </t>
    </r>
    <r>
      <rPr>
        <sz val="10"/>
        <rFont val="Gill Sans MT"/>
        <family val="2"/>
      </rPr>
      <t>Occupations used in the NSCG data tables</t>
    </r>
  </si>
  <si>
    <r>
      <rPr>
        <b/>
        <sz val="8"/>
        <color rgb="FF3F3F3F"/>
        <rFont val="Gill Sans MT"/>
        <family val="2"/>
      </rPr>
      <t xml:space="preserve">TABLE A-1
</t>
    </r>
    <r>
      <rPr>
        <b/>
        <sz val="9"/>
        <rFont val="Gill Sans MT"/>
        <family val="2"/>
      </rPr>
      <t xml:space="preserve">Fields of study used in the NSCG data tables
</t>
    </r>
    <r>
      <rPr>
        <sz val="7.5"/>
        <rFont val="Gill Sans MT"/>
        <family val="2"/>
      </rPr>
      <t>(Crosswalk)</t>
    </r>
  </si>
  <si>
    <r>
      <rPr>
        <sz val="8"/>
        <rFont val="Gill Sans MT"/>
        <family val="2"/>
      </rPr>
      <t>Broad field</t>
    </r>
  </si>
  <si>
    <r>
      <rPr>
        <sz val="8"/>
        <rFont val="Gill Sans MT"/>
        <family val="2"/>
      </rPr>
      <t>Major field</t>
    </r>
  </si>
  <si>
    <r>
      <rPr>
        <sz val="8"/>
        <rFont val="Gill Sans MT"/>
        <family val="2"/>
      </rPr>
      <t>Minor field</t>
    </r>
  </si>
  <si>
    <r>
      <rPr>
        <sz val="8"/>
        <rFont val="Gill Sans MT"/>
        <family val="2"/>
      </rPr>
      <t>Detailed field</t>
    </r>
  </si>
  <si>
    <r>
      <rPr>
        <sz val="8"/>
        <rFont val="Gill Sans MT"/>
        <family val="2"/>
      </rPr>
      <t>Code</t>
    </r>
  </si>
  <si>
    <r>
      <rPr>
        <sz val="8"/>
        <rFont val="Gill Sans MT"/>
        <family val="2"/>
      </rPr>
      <t>Label</t>
    </r>
  </si>
  <si>
    <r>
      <rPr>
        <sz val="8"/>
        <rFont val="Gill Sans MT"/>
        <family val="2"/>
      </rPr>
      <t>Computer science</t>
    </r>
  </si>
  <si>
    <r>
      <rPr>
        <sz val="8"/>
        <rFont val="Gill Sans MT"/>
        <family val="2"/>
      </rPr>
      <t>Computer systems analysis</t>
    </r>
  </si>
  <si>
    <r>
      <rPr>
        <sz val="8"/>
        <rFont val="Gill Sans MT"/>
        <family val="2"/>
      </rPr>
      <t>Information services and systems</t>
    </r>
  </si>
  <si>
    <r>
      <rPr>
        <sz val="8"/>
        <rFont val="Gill Sans MT"/>
        <family val="2"/>
      </rPr>
      <t>Other computer and information sciences</t>
    </r>
  </si>
  <si>
    <r>
      <rPr>
        <sz val="8"/>
        <rFont val="Gill Sans MT"/>
        <family val="2"/>
      </rPr>
      <t>Applied mathematics</t>
    </r>
  </si>
  <si>
    <r>
      <rPr>
        <sz val="8"/>
        <rFont val="Gill Sans MT"/>
        <family val="2"/>
      </rPr>
      <t>Mathematics, general</t>
    </r>
  </si>
  <si>
    <r>
      <rPr>
        <sz val="8"/>
        <rFont val="Gill Sans MT"/>
        <family val="2"/>
      </rPr>
      <t>Operations research</t>
    </r>
  </si>
  <si>
    <r>
      <rPr>
        <sz val="8"/>
        <rFont val="Gill Sans MT"/>
        <family val="2"/>
      </rPr>
      <t>Statistics</t>
    </r>
  </si>
  <si>
    <r>
      <rPr>
        <sz val="8"/>
        <rFont val="Gill Sans MT"/>
        <family val="2"/>
      </rPr>
      <t>Other mathematics</t>
    </r>
  </si>
  <si>
    <r>
      <rPr>
        <sz val="8"/>
        <rFont val="Gill Sans MT"/>
        <family val="2"/>
      </rPr>
      <t>Animal sciences</t>
    </r>
  </si>
  <si>
    <r>
      <rPr>
        <sz val="8"/>
        <rFont val="Gill Sans MT"/>
        <family val="2"/>
      </rPr>
      <t>Food sciences and technology</t>
    </r>
  </si>
  <si>
    <r>
      <rPr>
        <sz val="8"/>
        <rFont val="Gill Sans MT"/>
        <family val="2"/>
      </rPr>
      <t>Plant sciences</t>
    </r>
  </si>
  <si>
    <r>
      <rPr>
        <sz val="8"/>
        <rFont val="Gill Sans MT"/>
        <family val="2"/>
      </rPr>
      <t>Other agricultural sciences</t>
    </r>
  </si>
  <si>
    <r>
      <rPr>
        <sz val="8"/>
        <rFont val="Gill Sans MT"/>
        <family val="2"/>
      </rPr>
      <t>Biochemistry and biophysics</t>
    </r>
  </si>
  <si>
    <r>
      <rPr>
        <sz val="8"/>
        <rFont val="Gill Sans MT"/>
        <family val="2"/>
      </rPr>
      <t>Biology, general</t>
    </r>
  </si>
  <si>
    <r>
      <rPr>
        <sz val="8"/>
        <rFont val="Gill Sans MT"/>
        <family val="2"/>
      </rPr>
      <t>Botany</t>
    </r>
  </si>
  <si>
    <r>
      <rPr>
        <sz val="8"/>
        <rFont val="Gill Sans MT"/>
        <family val="2"/>
      </rPr>
      <t>Cell and molecular biology</t>
    </r>
  </si>
  <si>
    <r>
      <rPr>
        <sz val="8"/>
        <rFont val="Gill Sans MT"/>
        <family val="2"/>
      </rPr>
      <t>Ecology</t>
    </r>
  </si>
  <si>
    <r>
      <rPr>
        <sz val="8"/>
        <rFont val="Gill Sans MT"/>
        <family val="2"/>
      </rPr>
      <t>Genetics, animal and plant</t>
    </r>
  </si>
  <si>
    <r>
      <rPr>
        <sz val="8"/>
        <rFont val="Gill Sans MT"/>
        <family val="2"/>
      </rPr>
      <t>Microbiological sciences and immunology</t>
    </r>
  </si>
  <si>
    <r>
      <rPr>
        <sz val="8"/>
        <rFont val="Gill Sans MT"/>
        <family val="2"/>
      </rPr>
      <t>Nutritional sciences</t>
    </r>
  </si>
  <si>
    <r>
      <rPr>
        <sz val="8"/>
        <rFont val="Gill Sans MT"/>
        <family val="2"/>
      </rPr>
      <t>Pharmacology, human and animal</t>
    </r>
  </si>
  <si>
    <r>
      <rPr>
        <sz val="8"/>
        <rFont val="Gill Sans MT"/>
        <family val="2"/>
      </rPr>
      <t>Physiology and pathology, human and animal</t>
    </r>
  </si>
  <si>
    <r>
      <rPr>
        <sz val="8"/>
        <rFont val="Gill Sans MT"/>
        <family val="2"/>
      </rPr>
      <t>Zoology, general</t>
    </r>
  </si>
  <si>
    <r>
      <rPr>
        <sz val="8"/>
        <rFont val="Gill Sans MT"/>
        <family val="2"/>
      </rPr>
      <t>Other biological sciences</t>
    </r>
  </si>
  <si>
    <r>
      <rPr>
        <sz val="8"/>
        <rFont val="Gill Sans MT"/>
        <family val="2"/>
      </rPr>
      <t>Environmental science or studies</t>
    </r>
  </si>
  <si>
    <r>
      <rPr>
        <sz val="8"/>
        <rFont val="Gill Sans MT"/>
        <family val="2"/>
      </rPr>
      <t>Forestry sciences</t>
    </r>
  </si>
  <si>
    <r>
      <rPr>
        <sz val="8"/>
        <rFont val="Gill Sans MT"/>
        <family val="2"/>
      </rPr>
      <t>Atmospheric sciences and meteorology</t>
    </r>
  </si>
  <si>
    <r>
      <rPr>
        <sz val="8"/>
        <rFont val="Gill Sans MT"/>
        <family val="2"/>
      </rPr>
      <t>Earth sciences</t>
    </r>
  </si>
  <si>
    <r>
      <rPr>
        <sz val="8"/>
        <rFont val="Gill Sans MT"/>
        <family val="2"/>
      </rPr>
      <t>Geology</t>
    </r>
  </si>
  <si>
    <r>
      <rPr>
        <sz val="8"/>
        <rFont val="Gill Sans MT"/>
        <family val="2"/>
      </rPr>
      <t xml:space="preserve">Geological sciences, other (including
</t>
    </r>
    <r>
      <rPr>
        <sz val="8"/>
        <rFont val="Gill Sans MT"/>
        <family val="2"/>
      </rPr>
      <t>oceanography)</t>
    </r>
    <r>
      <rPr>
        <vertAlign val="superscript"/>
        <sz val="7"/>
        <rFont val="Gill Sans MT"/>
        <family val="2"/>
      </rPr>
      <t>a</t>
    </r>
  </si>
  <si>
    <r>
      <rPr>
        <sz val="8"/>
        <rFont val="Gill Sans MT"/>
        <family val="2"/>
      </rPr>
      <t>Astronomy and astrophysics</t>
    </r>
  </si>
  <si>
    <r>
      <rPr>
        <sz val="8"/>
        <rFont val="Gill Sans MT"/>
        <family val="2"/>
      </rPr>
      <t>Physics</t>
    </r>
  </si>
  <si>
    <r>
      <rPr>
        <sz val="8"/>
        <rFont val="Gill Sans MT"/>
        <family val="2"/>
      </rPr>
      <t>Agricultural economics</t>
    </r>
  </si>
  <si>
    <r>
      <rPr>
        <sz val="8"/>
        <rFont val="Gill Sans MT"/>
        <family val="2"/>
      </rPr>
      <t>Public policy studies</t>
    </r>
  </si>
  <si>
    <r>
      <rPr>
        <sz val="8"/>
        <rFont val="Gill Sans MT"/>
        <family val="2"/>
      </rPr>
      <t>International relations</t>
    </r>
  </si>
  <si>
    <r>
      <rPr>
        <sz val="8"/>
        <rFont val="Gill Sans MT"/>
        <family val="2"/>
      </rPr>
      <t>Political science and government</t>
    </r>
  </si>
  <si>
    <r>
      <rPr>
        <sz val="8"/>
        <rFont val="Gill Sans MT"/>
        <family val="2"/>
      </rPr>
      <t>Educational psychology</t>
    </r>
  </si>
  <si>
    <r>
      <rPr>
        <sz val="8"/>
        <rFont val="Gill Sans MT"/>
        <family val="2"/>
      </rPr>
      <t>Clinical psychology</t>
    </r>
  </si>
  <si>
    <r>
      <rPr>
        <sz val="8"/>
        <rFont val="Gill Sans MT"/>
        <family val="2"/>
      </rPr>
      <t>Counseling psychology</t>
    </r>
  </si>
  <si>
    <r>
      <rPr>
        <sz val="8"/>
        <rFont val="Gill Sans MT"/>
        <family val="2"/>
      </rPr>
      <t>Experimental psychology</t>
    </r>
  </si>
  <si>
    <r>
      <rPr>
        <sz val="8"/>
        <rFont val="Gill Sans MT"/>
        <family val="2"/>
      </rPr>
      <t>General psychology</t>
    </r>
  </si>
  <si>
    <r>
      <rPr>
        <sz val="8"/>
        <rFont val="Gill Sans MT"/>
        <family val="2"/>
      </rPr>
      <t>Industrial/ organizational psychology</t>
    </r>
  </si>
  <si>
    <r>
      <rPr>
        <sz val="8"/>
        <rFont val="Gill Sans MT"/>
        <family val="2"/>
      </rPr>
      <t>Social psychology</t>
    </r>
  </si>
  <si>
    <r>
      <rPr>
        <sz val="8"/>
        <rFont val="Gill Sans MT"/>
        <family val="2"/>
      </rPr>
      <t>Other psychology</t>
    </r>
  </si>
  <si>
    <r>
      <rPr>
        <sz val="8"/>
        <rFont val="Gill Sans MT"/>
        <family val="2"/>
      </rPr>
      <t>Anthropology and archaeology</t>
    </r>
  </si>
  <si>
    <r>
      <rPr>
        <sz val="8"/>
        <rFont val="Gill Sans MT"/>
        <family val="2"/>
      </rPr>
      <t>Criminology</t>
    </r>
  </si>
  <si>
    <r>
      <rPr>
        <sz val="8"/>
        <rFont val="Gill Sans MT"/>
        <family val="2"/>
      </rPr>
      <t>Sociology</t>
    </r>
  </si>
  <si>
    <r>
      <rPr>
        <sz val="8"/>
        <rFont val="Gill Sans MT"/>
        <family val="2"/>
      </rPr>
      <t>Area and ethnic studies</t>
    </r>
  </si>
  <si>
    <r>
      <rPr>
        <sz val="8"/>
        <rFont val="Gill Sans MT"/>
        <family val="2"/>
      </rPr>
      <t>Linguistics</t>
    </r>
  </si>
  <si>
    <r>
      <rPr>
        <sz val="8"/>
        <rFont val="Gill Sans MT"/>
        <family val="2"/>
      </rPr>
      <t>Philosophy of science</t>
    </r>
  </si>
  <si>
    <r>
      <rPr>
        <sz val="8"/>
        <rFont val="Gill Sans MT"/>
        <family val="2"/>
      </rPr>
      <t>Geography</t>
    </r>
  </si>
  <si>
    <r>
      <rPr>
        <sz val="8"/>
        <rFont val="Gill Sans MT"/>
        <family val="2"/>
      </rPr>
      <t xml:space="preserve">Other social sciences, including history of
</t>
    </r>
    <r>
      <rPr>
        <sz val="8"/>
        <rFont val="Gill Sans MT"/>
        <family val="2"/>
      </rPr>
      <t>science</t>
    </r>
    <r>
      <rPr>
        <vertAlign val="superscript"/>
        <sz val="7"/>
        <rFont val="Gill Sans MT"/>
        <family val="2"/>
      </rPr>
      <t>b</t>
    </r>
  </si>
  <si>
    <r>
      <rPr>
        <sz val="8"/>
        <rFont val="Gill Sans MT"/>
        <family val="2"/>
      </rPr>
      <t>Aerospace, aeronautical, and astronautical/ space engineering</t>
    </r>
  </si>
  <si>
    <r>
      <rPr>
        <sz val="8"/>
        <rFont val="Gill Sans MT"/>
        <family val="2"/>
      </rPr>
      <t>Architectural engineering</t>
    </r>
  </si>
  <si>
    <r>
      <rPr>
        <sz val="8"/>
        <rFont val="Gill Sans MT"/>
        <family val="2"/>
      </rPr>
      <t>Civil engineering</t>
    </r>
  </si>
  <si>
    <r>
      <rPr>
        <sz val="8"/>
        <rFont val="Gill Sans MT"/>
        <family val="2"/>
      </rPr>
      <t>Computer and systems engineering</t>
    </r>
  </si>
  <si>
    <r>
      <rPr>
        <sz val="8"/>
        <rFont val="Gill Sans MT"/>
        <family val="2"/>
      </rPr>
      <t>Electrical, electronics, and communications engineering</t>
    </r>
  </si>
  <si>
    <r>
      <rPr>
        <sz val="8"/>
        <rFont val="Gill Sans MT"/>
        <family val="2"/>
      </rPr>
      <t>Industrial and manufacturing engineering</t>
    </r>
  </si>
  <si>
    <r>
      <rPr>
        <sz val="8"/>
        <rFont val="Gill Sans MT"/>
        <family val="2"/>
      </rPr>
      <t>Agricultural engineering</t>
    </r>
  </si>
  <si>
    <r>
      <rPr>
        <sz val="8"/>
        <rFont val="Gill Sans MT"/>
        <family val="2"/>
      </rPr>
      <t>Bioengineering and biomedical engineering</t>
    </r>
  </si>
  <si>
    <r>
      <rPr>
        <sz val="8"/>
        <rFont val="Gill Sans MT"/>
        <family val="2"/>
      </rPr>
      <t>Engineering sciences, mechanics and physics</t>
    </r>
  </si>
  <si>
    <r>
      <rPr>
        <sz val="8"/>
        <rFont val="Gill Sans MT"/>
        <family val="2"/>
      </rPr>
      <t>Environmental engineering</t>
    </r>
  </si>
  <si>
    <r>
      <rPr>
        <sz val="8"/>
        <rFont val="Gill Sans MT"/>
        <family val="2"/>
      </rPr>
      <t>Engineering, general</t>
    </r>
  </si>
  <si>
    <r>
      <rPr>
        <sz val="8"/>
        <rFont val="Gill Sans MT"/>
        <family val="2"/>
      </rPr>
      <t>Materials engineering, including ceramics and textiles</t>
    </r>
  </si>
  <si>
    <r>
      <rPr>
        <sz val="8"/>
        <rFont val="Gill Sans MT"/>
        <family val="2"/>
      </rPr>
      <t>Metallurgical engineering</t>
    </r>
  </si>
  <si>
    <r>
      <rPr>
        <sz val="8"/>
        <rFont val="Gill Sans MT"/>
        <family val="2"/>
      </rPr>
      <t>Nuclear engineering</t>
    </r>
  </si>
  <si>
    <r>
      <rPr>
        <sz val="8"/>
        <rFont val="Gill Sans MT"/>
        <family val="2"/>
      </rPr>
      <t xml:space="preserve">Other engineering, including geophysical, geological, mining, mineral, naval
</t>
    </r>
    <r>
      <rPr>
        <sz val="8"/>
        <rFont val="Gill Sans MT"/>
        <family val="2"/>
      </rPr>
      <t>architecture, marine, and petroleum</t>
    </r>
    <r>
      <rPr>
        <vertAlign val="superscript"/>
        <sz val="7"/>
        <rFont val="Gill Sans MT"/>
        <family val="2"/>
      </rPr>
      <t>c</t>
    </r>
  </si>
  <si>
    <r>
      <rPr>
        <sz val="8"/>
        <rFont val="Gill Sans MT"/>
        <family val="2"/>
      </rPr>
      <t>Audiology and speech pathology</t>
    </r>
  </si>
  <si>
    <r>
      <rPr>
        <sz val="8"/>
        <rFont val="Gill Sans MT"/>
        <family val="2"/>
      </rPr>
      <t>Health services administration</t>
    </r>
  </si>
  <si>
    <r>
      <rPr>
        <sz val="8"/>
        <rFont val="Gill Sans MT"/>
        <family val="2"/>
      </rPr>
      <t>Health/ medical assistants</t>
    </r>
  </si>
  <si>
    <r>
      <rPr>
        <sz val="8"/>
        <rFont val="Gill Sans MT"/>
        <family val="2"/>
      </rPr>
      <t>Health/ medical technologies</t>
    </r>
  </si>
  <si>
    <r>
      <rPr>
        <sz val="8"/>
        <rFont val="Gill Sans MT"/>
        <family val="2"/>
      </rPr>
      <t>Medical preparatory programs (e.g., pre- dentistry, pre-medical, pre-veterinary)</t>
    </r>
  </si>
  <si>
    <r>
      <rPr>
        <sz val="8"/>
        <rFont val="Gill Sans MT"/>
        <family val="2"/>
      </rPr>
      <t>Medicine (dentistry, optometry, osteopathic, podiatry, veterinary)</t>
    </r>
  </si>
  <si>
    <r>
      <rPr>
        <sz val="8"/>
        <rFont val="Gill Sans MT"/>
        <family val="2"/>
      </rPr>
      <t>Nursing (4 years or longer program)</t>
    </r>
  </si>
  <si>
    <r>
      <rPr>
        <sz val="8"/>
        <rFont val="Gill Sans MT"/>
        <family val="2"/>
      </rPr>
      <t>Pharmacy</t>
    </r>
  </si>
  <si>
    <r>
      <rPr>
        <sz val="8"/>
        <rFont val="Gill Sans MT"/>
        <family val="2"/>
      </rPr>
      <t>Physical therapy and other rehabilitation/ therapeutic services</t>
    </r>
  </si>
  <si>
    <r>
      <rPr>
        <sz val="8"/>
        <rFont val="Gill Sans MT"/>
        <family val="2"/>
      </rPr>
      <t>Public health (including environmental health and epidemiology)</t>
    </r>
  </si>
  <si>
    <r>
      <rPr>
        <sz val="8"/>
        <rFont val="Gill Sans MT"/>
        <family val="2"/>
      </rPr>
      <t>Other health/ medical sciences</t>
    </r>
  </si>
  <si>
    <r>
      <rPr>
        <sz val="8"/>
        <rFont val="Gill Sans MT"/>
        <family val="2"/>
      </rPr>
      <t>Computer teacher education</t>
    </r>
  </si>
  <si>
    <r>
      <rPr>
        <sz val="8"/>
        <rFont val="Gill Sans MT"/>
        <family val="2"/>
      </rPr>
      <t>Mathematics teacher education</t>
    </r>
  </si>
  <si>
    <r>
      <rPr>
        <sz val="8"/>
        <rFont val="Gill Sans MT"/>
        <family val="2"/>
      </rPr>
      <t>Science teacher education</t>
    </r>
  </si>
  <si>
    <r>
      <rPr>
        <sz val="8"/>
        <rFont val="Gill Sans MT"/>
        <family val="2"/>
      </rPr>
      <t>Social science teacher education</t>
    </r>
  </si>
  <si>
    <r>
      <rPr>
        <sz val="8"/>
        <rFont val="Gill Sans MT"/>
        <family val="2"/>
      </rPr>
      <t>Computer programming</t>
    </r>
  </si>
  <si>
    <r>
      <rPr>
        <sz val="8"/>
        <rFont val="Gill Sans MT"/>
        <family val="2"/>
      </rPr>
      <t>Data processing</t>
    </r>
  </si>
  <si>
    <r>
      <rPr>
        <sz val="8"/>
        <rFont val="Gill Sans MT"/>
        <family val="2"/>
      </rPr>
      <t>Electrical and electronic technologies</t>
    </r>
  </si>
  <si>
    <r>
      <rPr>
        <sz val="8"/>
        <rFont val="Gill Sans MT"/>
        <family val="2"/>
      </rPr>
      <t>Industrial production technologies</t>
    </r>
  </si>
  <si>
    <r>
      <rPr>
        <sz val="8"/>
        <rFont val="Gill Sans MT"/>
        <family val="2"/>
      </rPr>
      <t>Mechanical engineering-related technologies</t>
    </r>
  </si>
  <si>
    <r>
      <rPr>
        <sz val="8"/>
        <rFont val="Gill Sans MT"/>
        <family val="2"/>
      </rPr>
      <t>Other engineering-related technologies</t>
    </r>
  </si>
  <si>
    <r>
      <rPr>
        <sz val="8"/>
        <rFont val="Gill Sans MT"/>
        <family val="2"/>
      </rPr>
      <t>Other science and engineering-related fields</t>
    </r>
  </si>
  <si>
    <r>
      <rPr>
        <sz val="8"/>
        <rFont val="Gill Sans MT"/>
        <family val="2"/>
      </rPr>
      <t>Architecture/ environmental design</t>
    </r>
  </si>
  <si>
    <r>
      <rPr>
        <sz val="8"/>
        <rFont val="Gill Sans MT"/>
        <family val="2"/>
      </rPr>
      <t>Actuarial science</t>
    </r>
  </si>
  <si>
    <r>
      <rPr>
        <sz val="8"/>
        <rFont val="Gill Sans MT"/>
        <family val="2"/>
      </rPr>
      <t>Other agricultural business and production</t>
    </r>
  </si>
  <si>
    <r>
      <rPr>
        <sz val="8"/>
        <rFont val="Gill Sans MT"/>
        <family val="2"/>
      </rPr>
      <t>Accounting</t>
    </r>
  </si>
  <si>
    <r>
      <rPr>
        <sz val="8"/>
        <rFont val="Gill Sans MT"/>
        <family val="2"/>
      </rPr>
      <t>Business administration and management</t>
    </r>
  </si>
  <si>
    <r>
      <rPr>
        <sz val="8"/>
        <rFont val="Gill Sans MT"/>
        <family val="2"/>
      </rPr>
      <t>Business, general</t>
    </r>
  </si>
  <si>
    <r>
      <rPr>
        <sz val="8"/>
        <rFont val="Gill Sans MT"/>
        <family val="2"/>
      </rPr>
      <t>Business and managerial economics</t>
    </r>
  </si>
  <si>
    <r>
      <rPr>
        <sz val="8"/>
        <rFont val="Gill Sans MT"/>
        <family val="2"/>
      </rPr>
      <t>Financial management</t>
    </r>
  </si>
  <si>
    <r>
      <rPr>
        <sz val="8"/>
        <rFont val="Gill Sans MT"/>
        <family val="2"/>
      </rPr>
      <t>Other business management/ administrative services</t>
    </r>
  </si>
  <si>
    <r>
      <rPr>
        <sz val="8"/>
        <rFont val="Gill Sans MT"/>
        <family val="2"/>
      </rPr>
      <t>Education administration</t>
    </r>
  </si>
  <si>
    <r>
      <rPr>
        <sz val="8"/>
        <rFont val="Gill Sans MT"/>
        <family val="2"/>
      </rPr>
      <t>Counselor education and guidance services</t>
    </r>
  </si>
  <si>
    <r>
      <rPr>
        <sz val="8"/>
        <rFont val="Gill Sans MT"/>
        <family val="2"/>
      </rPr>
      <t>Elementary teacher education</t>
    </r>
  </si>
  <si>
    <r>
      <rPr>
        <sz val="8"/>
        <rFont val="Gill Sans MT"/>
        <family val="2"/>
      </rPr>
      <t>Physical education and coaching</t>
    </r>
  </si>
  <si>
    <r>
      <rPr>
        <sz val="8"/>
        <rFont val="Gill Sans MT"/>
        <family val="2"/>
      </rPr>
      <t>Pre-school/ kindergarten/ early childhood teacher education</t>
    </r>
  </si>
  <si>
    <r>
      <rPr>
        <sz val="8"/>
        <rFont val="Gill Sans MT"/>
        <family val="2"/>
      </rPr>
      <t>Secondary teacher education</t>
    </r>
  </si>
  <si>
    <r>
      <rPr>
        <sz val="8"/>
        <rFont val="Gill Sans MT"/>
        <family val="2"/>
      </rPr>
      <t>Special education</t>
    </r>
  </si>
  <si>
    <r>
      <rPr>
        <sz val="8"/>
        <rFont val="Gill Sans MT"/>
        <family val="2"/>
      </rPr>
      <t>Other education</t>
    </r>
  </si>
  <si>
    <r>
      <rPr>
        <sz val="8"/>
        <rFont val="Gill Sans MT"/>
        <family val="2"/>
      </rPr>
      <t>Other philosophy, religion, theology</t>
    </r>
  </si>
  <si>
    <r>
      <rPr>
        <sz val="8"/>
        <rFont val="Gill Sans MT"/>
        <family val="2"/>
      </rPr>
      <t>Social work</t>
    </r>
  </si>
  <si>
    <r>
      <rPr>
        <sz val="8"/>
        <rFont val="Gill Sans MT"/>
        <family val="2"/>
      </rPr>
      <t>Business marketing/ marketing management</t>
    </r>
  </si>
  <si>
    <r>
      <rPr>
        <sz val="8"/>
        <rFont val="Gill Sans MT"/>
        <family val="2"/>
      </rPr>
      <t>Marketing research</t>
    </r>
  </si>
  <si>
    <r>
      <rPr>
        <sz val="8"/>
        <rFont val="Gill Sans MT"/>
        <family val="2"/>
      </rPr>
      <t>English language, literature and letters</t>
    </r>
  </si>
  <si>
    <r>
      <rPr>
        <sz val="8"/>
        <rFont val="Gill Sans MT"/>
        <family val="2"/>
      </rPr>
      <t>Other foreign languages and literature</t>
    </r>
  </si>
  <si>
    <r>
      <rPr>
        <sz val="8"/>
        <rFont val="Gill Sans MT"/>
        <family val="2"/>
      </rPr>
      <t>Liberal arts/ general studies</t>
    </r>
  </si>
  <si>
    <r>
      <rPr>
        <sz val="8"/>
        <rFont val="Gill Sans MT"/>
        <family val="2"/>
      </rPr>
      <t>History, other</t>
    </r>
  </si>
  <si>
    <r>
      <rPr>
        <sz val="8"/>
        <rFont val="Gill Sans MT"/>
        <family val="2"/>
      </rPr>
      <t>Dramatic arts</t>
    </r>
  </si>
  <si>
    <r>
      <rPr>
        <sz val="8"/>
        <rFont val="Gill Sans MT"/>
        <family val="2"/>
      </rPr>
      <t>Fine arts, all fields</t>
    </r>
  </si>
  <si>
    <r>
      <rPr>
        <sz val="8"/>
        <rFont val="Gill Sans MT"/>
        <family val="2"/>
      </rPr>
      <t>Music, all fields</t>
    </r>
  </si>
  <si>
    <r>
      <rPr>
        <sz val="8"/>
        <rFont val="Gill Sans MT"/>
        <family val="2"/>
      </rPr>
      <t>Other visual and performing arts</t>
    </r>
  </si>
  <si>
    <r>
      <rPr>
        <sz val="8"/>
        <rFont val="Gill Sans MT"/>
        <family val="2"/>
      </rPr>
      <t>Communications, general</t>
    </r>
  </si>
  <si>
    <r>
      <rPr>
        <sz val="8"/>
        <rFont val="Gill Sans MT"/>
        <family val="2"/>
      </rPr>
      <t>Journalism</t>
    </r>
  </si>
  <si>
    <r>
      <rPr>
        <sz val="8"/>
        <rFont val="Gill Sans MT"/>
        <family val="2"/>
      </rPr>
      <t>Other communications</t>
    </r>
  </si>
  <si>
    <r>
      <rPr>
        <sz val="8"/>
        <rFont val="Gill Sans MT"/>
        <family val="2"/>
      </rPr>
      <t>Other natural resources and conservation</t>
    </r>
  </si>
  <si>
    <r>
      <rPr>
        <sz val="8"/>
        <rFont val="Gill Sans MT"/>
        <family val="2"/>
      </rPr>
      <t>Criminal justice/ protective services</t>
    </r>
  </si>
  <si>
    <r>
      <rPr>
        <sz val="8"/>
        <rFont val="Gill Sans MT"/>
        <family val="2"/>
      </rPr>
      <t>Home economics</t>
    </r>
  </si>
  <si>
    <r>
      <rPr>
        <sz val="8"/>
        <rFont val="Gill Sans MT"/>
        <family val="2"/>
      </rPr>
      <t>Law/ prelaw/ legal studies</t>
    </r>
  </si>
  <si>
    <r>
      <rPr>
        <sz val="8"/>
        <rFont val="Gill Sans MT"/>
        <family val="2"/>
      </rPr>
      <t>Library science</t>
    </r>
  </si>
  <si>
    <r>
      <rPr>
        <sz val="8"/>
        <rFont val="Gill Sans MT"/>
        <family val="2"/>
      </rPr>
      <t>Parks, recreation, leisure, and fitness studies</t>
    </r>
  </si>
  <si>
    <r>
      <rPr>
        <sz val="8"/>
        <rFont val="Gill Sans MT"/>
        <family val="2"/>
      </rPr>
      <t>Public administration</t>
    </r>
  </si>
  <si>
    <r>
      <rPr>
        <sz val="8"/>
        <rFont val="Gill Sans MT"/>
        <family val="2"/>
      </rPr>
      <t>Other public affairs</t>
    </r>
  </si>
  <si>
    <r>
      <rPr>
        <sz val="8"/>
        <rFont val="Gill Sans MT"/>
        <family val="2"/>
      </rPr>
      <t>Other fields (not listed)</t>
    </r>
  </si>
  <si>
    <r>
      <rPr>
        <sz val="8"/>
        <rFont val="Gill Sans MT"/>
        <family val="2"/>
      </rPr>
      <t xml:space="preserve">S&amp;E = science and engineering; NSCG = National Survey of College Graduates.
</t>
    </r>
    <r>
      <rPr>
        <vertAlign val="superscript"/>
        <sz val="7"/>
        <rFont val="Gill Sans MT"/>
        <family val="2"/>
      </rPr>
      <t xml:space="preserve">a </t>
    </r>
    <r>
      <rPr>
        <sz val="8"/>
        <rFont val="Gill Sans MT"/>
        <family val="2"/>
      </rPr>
      <t xml:space="preserve">In 2019, "Oceanography" was merged with "Geological sciences, other" to form "Geological sciences, other (including oceanography)" (328760).
</t>
    </r>
    <r>
      <rPr>
        <vertAlign val="superscript"/>
        <sz val="7"/>
        <rFont val="Gill Sans MT"/>
        <family val="2"/>
      </rPr>
      <t xml:space="preserve">b </t>
    </r>
    <r>
      <rPr>
        <sz val="8"/>
        <rFont val="Gill Sans MT"/>
        <family val="2"/>
      </rPr>
      <t xml:space="preserve">In 2019, "History of science" was merged with "Other social sciences" to form "Other social sciences, including history of science" (459300).
</t>
    </r>
    <r>
      <rPr>
        <vertAlign val="superscript"/>
        <sz val="7"/>
        <rFont val="Gill Sans MT"/>
        <family val="2"/>
      </rPr>
      <t xml:space="preserve">c </t>
    </r>
    <r>
      <rPr>
        <sz val="8"/>
        <rFont val="Gill Sans MT"/>
        <family val="2"/>
      </rPr>
      <t xml:space="preserve">In 2019, four detailed fields of engineering were merged with "Other engineering" to form "Other engineering, including geophysical, geological, mining, mineral, naval architecture, marine, and petroleum" (577410).
</t>
    </r>
    <r>
      <rPr>
        <b/>
        <sz val="8"/>
        <rFont val="Gill Sans MT"/>
        <family val="2"/>
      </rPr>
      <t xml:space="preserve">Source(s):
</t>
    </r>
    <r>
      <rPr>
        <sz val="8"/>
        <rFont val="Gill Sans MT"/>
        <family val="2"/>
      </rPr>
      <t>National Center for Science and Engineering Statistics, National Survey of College Graduates, 2021.</t>
    </r>
  </si>
  <si>
    <r>
      <rPr>
        <b/>
        <sz val="8"/>
        <color rgb="FF3F3F3F"/>
        <rFont val="Gill Sans MT"/>
        <family val="2"/>
      </rPr>
      <t xml:space="preserve">TABLE A-2
</t>
    </r>
    <r>
      <rPr>
        <b/>
        <sz val="9"/>
        <rFont val="Gill Sans MT"/>
        <family val="2"/>
      </rPr>
      <t xml:space="preserve">Occupations used in the NSCG data tables
</t>
    </r>
    <r>
      <rPr>
        <sz val="7.5"/>
        <rFont val="Gill Sans MT"/>
        <family val="2"/>
      </rPr>
      <t>(Crosswalk)</t>
    </r>
  </si>
  <si>
    <r>
      <rPr>
        <sz val="8"/>
        <rFont val="Gill Sans MT"/>
        <family val="2"/>
      </rPr>
      <t>Broad occupation</t>
    </r>
  </si>
  <si>
    <r>
      <rPr>
        <sz val="8"/>
        <rFont val="Gill Sans MT"/>
        <family val="2"/>
      </rPr>
      <t>Major occupation</t>
    </r>
  </si>
  <si>
    <r>
      <rPr>
        <sz val="8"/>
        <rFont val="Gill Sans MT"/>
        <family val="2"/>
      </rPr>
      <t>Minor occupation</t>
    </r>
  </si>
  <si>
    <r>
      <rPr>
        <sz val="8"/>
        <rFont val="Gill Sans MT"/>
        <family val="2"/>
      </rPr>
      <t>Detailed occupation</t>
    </r>
  </si>
  <si>
    <r>
      <rPr>
        <sz val="8"/>
        <rFont val="Gill Sans MT"/>
        <family val="2"/>
      </rPr>
      <t>Computer and information scientists, research</t>
    </r>
  </si>
  <si>
    <r>
      <rPr>
        <sz val="8"/>
        <rFont val="Gill Sans MT"/>
        <family val="2"/>
      </rPr>
      <t>Computer network architect</t>
    </r>
  </si>
  <si>
    <r>
      <rPr>
        <sz val="8"/>
        <rFont val="Gill Sans MT"/>
        <family val="2"/>
      </rPr>
      <t>Computer support specialists</t>
    </r>
  </si>
  <si>
    <r>
      <rPr>
        <sz val="8"/>
        <rFont val="Gill Sans MT"/>
        <family val="2"/>
      </rPr>
      <t>Computer system analysts</t>
    </r>
  </si>
  <si>
    <r>
      <rPr>
        <sz val="8"/>
        <rFont val="Gill Sans MT"/>
        <family val="2"/>
      </rPr>
      <t>Database administrators</t>
    </r>
  </si>
  <si>
    <r>
      <rPr>
        <sz val="8"/>
        <rFont val="Gill Sans MT"/>
        <family val="2"/>
      </rPr>
      <t>Information security analysts</t>
    </r>
  </si>
  <si>
    <r>
      <rPr>
        <sz val="8"/>
        <rFont val="Gill Sans MT"/>
        <family val="2"/>
      </rPr>
      <t>Network and computer systems administrators</t>
    </r>
  </si>
  <si>
    <r>
      <rPr>
        <sz val="8"/>
        <rFont val="Gill Sans MT"/>
        <family val="2"/>
      </rPr>
      <t>Software developers -- applications and systems software</t>
    </r>
  </si>
  <si>
    <r>
      <rPr>
        <sz val="8"/>
        <rFont val="Gill Sans MT"/>
        <family val="2"/>
      </rPr>
      <t>Web developers</t>
    </r>
  </si>
  <si>
    <r>
      <rPr>
        <sz val="8"/>
        <rFont val="Gill Sans MT"/>
        <family val="2"/>
      </rPr>
      <t>Other computer and information science occupations</t>
    </r>
  </si>
  <si>
    <r>
      <rPr>
        <sz val="8"/>
        <rFont val="Gill Sans MT"/>
        <family val="2"/>
      </rPr>
      <t>Computer engineers, software</t>
    </r>
  </si>
  <si>
    <r>
      <rPr>
        <sz val="8"/>
        <rFont val="Gill Sans MT"/>
        <family val="2"/>
      </rPr>
      <t>Mathematicians</t>
    </r>
  </si>
  <si>
    <r>
      <rPr>
        <sz val="8"/>
        <rFont val="Gill Sans MT"/>
        <family val="2"/>
      </rPr>
      <t>Operations research analysts, including modeling</t>
    </r>
  </si>
  <si>
    <r>
      <rPr>
        <sz val="8"/>
        <rFont val="Gill Sans MT"/>
        <family val="2"/>
      </rPr>
      <t>Statisticians</t>
    </r>
  </si>
  <si>
    <r>
      <rPr>
        <sz val="8"/>
        <rFont val="Gill Sans MT"/>
        <family val="2"/>
      </rPr>
      <t>Other mathematical scientists</t>
    </r>
  </si>
  <si>
    <r>
      <rPr>
        <sz val="8"/>
        <rFont val="Gill Sans MT"/>
        <family val="2"/>
      </rPr>
      <t>Postsecondary teachers - Computer sciences</t>
    </r>
  </si>
  <si>
    <r>
      <rPr>
        <sz val="8"/>
        <rFont val="Gill Sans MT"/>
        <family val="2"/>
      </rPr>
      <t>Postsecondary teachers - Mathematics and statistics</t>
    </r>
  </si>
  <si>
    <r>
      <rPr>
        <sz val="8"/>
        <rFont val="Gill Sans MT"/>
        <family val="2"/>
      </rPr>
      <t>Biochemists and biophysicists</t>
    </r>
  </si>
  <si>
    <r>
      <rPr>
        <sz val="8"/>
        <rFont val="Gill Sans MT"/>
        <family val="2"/>
      </rPr>
      <t>Biological scientists</t>
    </r>
  </si>
  <si>
    <r>
      <rPr>
        <sz val="8"/>
        <rFont val="Gill Sans MT"/>
        <family val="2"/>
      </rPr>
      <t>Forestry and conservation scientists</t>
    </r>
  </si>
  <si>
    <r>
      <rPr>
        <sz val="8"/>
        <rFont val="Gill Sans MT"/>
        <family val="2"/>
      </rPr>
      <t>Medical scientists (excluding practitioners)</t>
    </r>
  </si>
  <si>
    <r>
      <rPr>
        <sz val="8"/>
        <rFont val="Gill Sans MT"/>
        <family val="2"/>
      </rPr>
      <t>Postsecondary teachers - Agriculture</t>
    </r>
  </si>
  <si>
    <r>
      <rPr>
        <sz val="8"/>
        <rFont val="Gill Sans MT"/>
        <family val="2"/>
      </rPr>
      <t>Postsecondary teachers - Biological sciences</t>
    </r>
  </si>
  <si>
    <r>
      <rPr>
        <sz val="8"/>
        <rFont val="Gill Sans MT"/>
        <family val="2"/>
      </rPr>
      <t>Postsecondary teachers - Other natural sciences</t>
    </r>
  </si>
  <si>
    <r>
      <rPr>
        <sz val="8"/>
        <rFont val="Gill Sans MT"/>
        <family val="2"/>
      </rPr>
      <t>Earth, atmospheric, and ocean scientists</t>
    </r>
    <r>
      <rPr>
        <vertAlign val="superscript"/>
        <sz val="7"/>
        <rFont val="Gill Sans MT"/>
        <family val="2"/>
      </rPr>
      <t>a</t>
    </r>
  </si>
  <si>
    <r>
      <rPr>
        <sz val="8"/>
        <rFont val="Gill Sans MT"/>
        <family val="2"/>
      </rPr>
      <t>Atmospheric and space scientists</t>
    </r>
  </si>
  <si>
    <r>
      <rPr>
        <sz val="8"/>
        <rFont val="Gill Sans MT"/>
        <family val="2"/>
      </rPr>
      <t xml:space="preserve">Geologists, including earth scientists
</t>
    </r>
    <r>
      <rPr>
        <sz val="8"/>
        <rFont val="Gill Sans MT"/>
        <family val="2"/>
      </rPr>
      <t>and oceanographers</t>
    </r>
    <r>
      <rPr>
        <vertAlign val="superscript"/>
        <sz val="7"/>
        <rFont val="Gill Sans MT"/>
        <family val="2"/>
      </rPr>
      <t>b</t>
    </r>
  </si>
  <si>
    <r>
      <rPr>
        <sz val="8"/>
        <rFont val="Gill Sans MT"/>
        <family val="2"/>
      </rPr>
      <t>Physicists</t>
    </r>
    <r>
      <rPr>
        <vertAlign val="superscript"/>
        <sz val="7"/>
        <rFont val="Gill Sans MT"/>
        <family val="2"/>
      </rPr>
      <t>c</t>
    </r>
  </si>
  <si>
    <r>
      <rPr>
        <sz val="8"/>
        <rFont val="Gill Sans MT"/>
        <family val="2"/>
      </rPr>
      <t>Physicists, except biophysicists</t>
    </r>
  </si>
  <si>
    <r>
      <rPr>
        <sz val="8"/>
        <rFont val="Gill Sans MT"/>
        <family val="2"/>
      </rPr>
      <t xml:space="preserve">Other physical and related scientists, including
</t>
    </r>
    <r>
      <rPr>
        <sz val="8"/>
        <rFont val="Gill Sans MT"/>
        <family val="2"/>
      </rPr>
      <t>astronomers</t>
    </r>
    <r>
      <rPr>
        <vertAlign val="superscript"/>
        <sz val="7"/>
        <rFont val="Gill Sans MT"/>
        <family val="2"/>
      </rPr>
      <t>a</t>
    </r>
  </si>
  <si>
    <r>
      <rPr>
        <sz val="8"/>
        <rFont val="Gill Sans MT"/>
        <family val="2"/>
      </rPr>
      <t>Other physical scientists, including astronomers</t>
    </r>
    <r>
      <rPr>
        <vertAlign val="superscript"/>
        <sz val="7"/>
        <rFont val="Gill Sans MT"/>
        <family val="2"/>
      </rPr>
      <t>d</t>
    </r>
  </si>
  <si>
    <r>
      <rPr>
        <sz val="8"/>
        <rFont val="Gill Sans MT"/>
        <family val="2"/>
      </rPr>
      <t>Postsecondary teachers - Chemistry</t>
    </r>
  </si>
  <si>
    <r>
      <rPr>
        <sz val="8"/>
        <rFont val="Gill Sans MT"/>
        <family val="2"/>
      </rPr>
      <t>Postsecondary teachers - Earth, environmental, and marine sciences</t>
    </r>
  </si>
  <si>
    <r>
      <rPr>
        <sz val="8"/>
        <rFont val="Gill Sans MT"/>
        <family val="2"/>
      </rPr>
      <t>Postsecondary teachers - Physics</t>
    </r>
  </si>
  <si>
    <r>
      <rPr>
        <sz val="8"/>
        <rFont val="Gill Sans MT"/>
        <family val="2"/>
      </rPr>
      <t>Psychologists, including clinical</t>
    </r>
  </si>
  <si>
    <r>
      <rPr>
        <sz val="8"/>
        <rFont val="Gill Sans MT"/>
        <family val="2"/>
      </rPr>
      <t>Anthropologists</t>
    </r>
    <r>
      <rPr>
        <vertAlign val="superscript"/>
        <sz val="7"/>
        <rFont val="Gill Sans MT"/>
        <family val="2"/>
      </rPr>
      <t>e</t>
    </r>
  </si>
  <si>
    <r>
      <rPr>
        <sz val="8"/>
        <rFont val="Gill Sans MT"/>
        <family val="2"/>
      </rPr>
      <t xml:space="preserve">Other social scientists, including
</t>
    </r>
    <r>
      <rPr>
        <sz val="8"/>
        <rFont val="Gill Sans MT"/>
        <family val="2"/>
      </rPr>
      <t>sociologists</t>
    </r>
    <r>
      <rPr>
        <vertAlign val="superscript"/>
        <sz val="7"/>
        <rFont val="Gill Sans MT"/>
        <family val="2"/>
      </rPr>
      <t>f</t>
    </r>
  </si>
  <si>
    <r>
      <rPr>
        <sz val="8"/>
        <rFont val="Gill Sans MT"/>
        <family val="2"/>
      </rPr>
      <t>Postsecondary teachers - Economics</t>
    </r>
  </si>
  <si>
    <r>
      <rPr>
        <sz val="8"/>
        <rFont val="Gill Sans MT"/>
        <family val="2"/>
      </rPr>
      <t>Postsecondary teachers - Political science</t>
    </r>
  </si>
  <si>
    <r>
      <rPr>
        <sz val="8"/>
        <rFont val="Gill Sans MT"/>
        <family val="2"/>
      </rPr>
      <t>Postsecondary teachers - Psychology</t>
    </r>
  </si>
  <si>
    <r>
      <rPr>
        <sz val="8"/>
        <rFont val="Gill Sans MT"/>
        <family val="2"/>
      </rPr>
      <t>Postsecondary teachers - Sociology</t>
    </r>
  </si>
  <si>
    <r>
      <rPr>
        <sz val="8"/>
        <rFont val="Gill Sans MT"/>
        <family val="2"/>
      </rPr>
      <t>Postsecondary teachers - Other social sciences</t>
    </r>
  </si>
  <si>
    <r>
      <rPr>
        <sz val="8"/>
        <rFont val="Gill Sans MT"/>
        <family val="2"/>
      </rPr>
      <t>Aeronautical, aerospace, and astronautical engineers</t>
    </r>
  </si>
  <si>
    <r>
      <rPr>
        <sz val="8"/>
        <rFont val="Gill Sans MT"/>
        <family val="2"/>
      </rPr>
      <t>Civil engineers, including architectural and sanitary</t>
    </r>
  </si>
  <si>
    <r>
      <rPr>
        <sz val="8"/>
        <rFont val="Gill Sans MT"/>
        <family val="2"/>
      </rPr>
      <t>Computer engineers, hardware</t>
    </r>
  </si>
  <si>
    <r>
      <rPr>
        <sz val="8"/>
        <rFont val="Gill Sans MT"/>
        <family val="2"/>
      </rPr>
      <t>Electrical and electronics engineers</t>
    </r>
  </si>
  <si>
    <r>
      <rPr>
        <sz val="8"/>
        <rFont val="Gill Sans MT"/>
        <family val="2"/>
      </rPr>
      <t>Bioengineers or biomedical engineers</t>
    </r>
  </si>
  <si>
    <r>
      <rPr>
        <sz val="8"/>
        <rFont val="Gill Sans MT"/>
        <family val="2"/>
      </rPr>
      <t>Environmental engineers</t>
    </r>
  </si>
  <si>
    <r>
      <rPr>
        <sz val="8"/>
        <rFont val="Gill Sans MT"/>
        <family val="2"/>
      </rPr>
      <t>Marine engineers and naval architects</t>
    </r>
  </si>
  <si>
    <r>
      <rPr>
        <sz val="8"/>
        <rFont val="Gill Sans MT"/>
        <family val="2"/>
      </rPr>
      <t>Materials and metallurgical engineers</t>
    </r>
  </si>
  <si>
    <r>
      <rPr>
        <sz val="8"/>
        <rFont val="Gill Sans MT"/>
        <family val="2"/>
      </rPr>
      <t>Nuclear engineers</t>
    </r>
  </si>
  <si>
    <r>
      <rPr>
        <sz val="8"/>
        <rFont val="Gill Sans MT"/>
        <family val="2"/>
      </rPr>
      <t>Petroleum engineers</t>
    </r>
  </si>
  <si>
    <r>
      <rPr>
        <sz val="8"/>
        <rFont val="Gill Sans MT"/>
        <family val="2"/>
      </rPr>
      <t>Sales engineers</t>
    </r>
  </si>
  <si>
    <r>
      <rPr>
        <sz val="8"/>
        <rFont val="Gill Sans MT"/>
        <family val="2"/>
      </rPr>
      <t xml:space="preserve">Other engineers, including agricultural,
</t>
    </r>
    <r>
      <rPr>
        <sz val="8"/>
        <rFont val="Gill Sans MT"/>
        <family val="2"/>
      </rPr>
      <t>mining, and geological</t>
    </r>
    <r>
      <rPr>
        <vertAlign val="superscript"/>
        <sz val="7"/>
        <rFont val="Gill Sans MT"/>
        <family val="2"/>
      </rPr>
      <t>g</t>
    </r>
  </si>
  <si>
    <r>
      <rPr>
        <sz val="8"/>
        <rFont val="Gill Sans MT"/>
        <family val="2"/>
      </rPr>
      <t>Postsecondary teachers - Engineering</t>
    </r>
  </si>
  <si>
    <r>
      <rPr>
        <sz val="8"/>
        <rFont val="Gill Sans MT"/>
        <family val="2"/>
      </rPr>
      <t>Diagnosing and treating practitioners</t>
    </r>
  </si>
  <si>
    <r>
      <rPr>
        <sz val="8"/>
        <rFont val="Gill Sans MT"/>
        <family val="2"/>
      </rPr>
      <t>Registered nurses, pharmacists, dieticians, therapists, physician assistants, nurse practitioners</t>
    </r>
  </si>
  <si>
    <r>
      <rPr>
        <sz val="8"/>
        <rFont val="Gill Sans MT"/>
        <family val="2"/>
      </rPr>
      <t>Health technologists and technicians</t>
    </r>
  </si>
  <si>
    <r>
      <rPr>
        <sz val="8"/>
        <rFont val="Gill Sans MT"/>
        <family val="2"/>
      </rPr>
      <t>Other health occupations</t>
    </r>
  </si>
  <si>
    <r>
      <rPr>
        <sz val="8"/>
        <rFont val="Gill Sans MT"/>
        <family val="2"/>
      </rPr>
      <t>Postsecondary teachers - health and related sciences</t>
    </r>
  </si>
  <si>
    <r>
      <rPr>
        <sz val="8"/>
        <rFont val="Gill Sans MT"/>
        <family val="2"/>
      </rPr>
      <t>Computer and information systems managers</t>
    </r>
  </si>
  <si>
    <r>
      <rPr>
        <sz val="8"/>
        <rFont val="Gill Sans MT"/>
        <family val="2"/>
      </rPr>
      <t>Engineering managers</t>
    </r>
  </si>
  <si>
    <r>
      <rPr>
        <sz val="8"/>
        <rFont val="Gill Sans MT"/>
        <family val="2"/>
      </rPr>
      <t>Medical and health services managers</t>
    </r>
  </si>
  <si>
    <r>
      <rPr>
        <sz val="8"/>
        <rFont val="Gill Sans MT"/>
        <family val="2"/>
      </rPr>
      <t>Natural sciences managers</t>
    </r>
  </si>
  <si>
    <r>
      <rPr>
        <sz val="8"/>
        <rFont val="Gill Sans MT"/>
        <family val="2"/>
      </rPr>
      <t>S&amp;E pre-college teachers</t>
    </r>
  </si>
  <si>
    <r>
      <rPr>
        <sz val="8"/>
        <rFont val="Gill Sans MT"/>
        <family val="2"/>
      </rPr>
      <t>Teachers: Secondary - computer, math, or sciences</t>
    </r>
  </si>
  <si>
    <r>
      <rPr>
        <sz val="8"/>
        <rFont val="Gill Sans MT"/>
        <family val="2"/>
      </rPr>
      <t>Teachers: Secondary - social sciences</t>
    </r>
  </si>
  <si>
    <r>
      <rPr>
        <sz val="8"/>
        <rFont val="Gill Sans MT"/>
        <family val="2"/>
      </rPr>
      <t>Technologists and technicians, biological and life sciences</t>
    </r>
  </si>
  <si>
    <r>
      <rPr>
        <sz val="8"/>
        <rFont val="Gill Sans MT"/>
        <family val="2"/>
      </rPr>
      <t>Computer programmers, business, scientific, and process control</t>
    </r>
  </si>
  <si>
    <r>
      <rPr>
        <sz val="8"/>
        <rFont val="Gill Sans MT"/>
        <family val="2"/>
      </rPr>
      <t>Electrical, electronic, industrial, and mechanical technicians</t>
    </r>
  </si>
  <si>
    <r>
      <rPr>
        <sz val="8"/>
        <rFont val="Gill Sans MT"/>
        <family val="2"/>
      </rPr>
      <t>Drafting occupations, including computer drafting</t>
    </r>
  </si>
  <si>
    <r>
      <rPr>
        <sz val="8"/>
        <rFont val="Gill Sans MT"/>
        <family val="2"/>
      </rPr>
      <t>Surveying and mapping technicians</t>
    </r>
  </si>
  <si>
    <r>
      <rPr>
        <sz val="8"/>
        <rFont val="Gill Sans MT"/>
        <family val="2"/>
      </rPr>
      <t>Other engineers, technologists, and technicians</t>
    </r>
  </si>
  <si>
    <r>
      <rPr>
        <sz val="8"/>
        <rFont val="Gill Sans MT"/>
        <family val="2"/>
      </rPr>
      <t>Surveyors, cartographers, and photogrammetrists</t>
    </r>
  </si>
  <si>
    <r>
      <rPr>
        <sz val="8"/>
        <rFont val="Gill Sans MT"/>
        <family val="2"/>
      </rPr>
      <t xml:space="preserve">Technologists and technicians in the
</t>
    </r>
    <r>
      <rPr>
        <sz val="8"/>
        <rFont val="Gill Sans MT"/>
        <family val="2"/>
      </rPr>
      <t>mathematical or physical sciences</t>
    </r>
    <r>
      <rPr>
        <vertAlign val="superscript"/>
        <sz val="7"/>
        <rFont val="Gill Sans MT"/>
        <family val="2"/>
      </rPr>
      <t>h</t>
    </r>
  </si>
  <si>
    <r>
      <rPr>
        <sz val="8"/>
        <rFont val="Gill Sans MT"/>
        <family val="2"/>
      </rPr>
      <t>Architects</t>
    </r>
  </si>
  <si>
    <r>
      <rPr>
        <sz val="8"/>
        <rFont val="Gill Sans MT"/>
        <family val="2"/>
      </rPr>
      <t>Actuaries</t>
    </r>
  </si>
  <si>
    <r>
      <rPr>
        <sz val="8"/>
        <rFont val="Gill Sans MT"/>
        <family val="2"/>
      </rPr>
      <t>Top-level managers, executives, and administrators</t>
    </r>
  </si>
  <si>
    <r>
      <rPr>
        <sz val="8"/>
        <rFont val="Gill Sans MT"/>
        <family val="2"/>
      </rPr>
      <t>Education administrators</t>
    </r>
  </si>
  <si>
    <r>
      <rPr>
        <sz val="8"/>
        <rFont val="Gill Sans MT"/>
        <family val="2"/>
      </rPr>
      <t>Other mid-level managers</t>
    </r>
  </si>
  <si>
    <r>
      <rPr>
        <sz val="8"/>
        <rFont val="Gill Sans MT"/>
        <family val="2"/>
      </rPr>
      <t>Accountants, auditors, and other financial specialists</t>
    </r>
  </si>
  <si>
    <r>
      <rPr>
        <sz val="8"/>
        <rFont val="Gill Sans MT"/>
        <family val="2"/>
      </rPr>
      <t>Personnel, training, and labor relations specialists</t>
    </r>
  </si>
  <si>
    <r>
      <rPr>
        <sz val="8"/>
        <rFont val="Gill Sans MT"/>
        <family val="2"/>
      </rPr>
      <t>Other management-related occupations</t>
    </r>
  </si>
  <si>
    <r>
      <rPr>
        <sz val="8"/>
        <rFont val="Gill Sans MT"/>
        <family val="2"/>
      </rPr>
      <t>Teachers: Pre-kindergarten and kindergarten</t>
    </r>
  </si>
  <si>
    <r>
      <rPr>
        <sz val="8"/>
        <rFont val="Gill Sans MT"/>
        <family val="2"/>
      </rPr>
      <t>Teachers: Elementary</t>
    </r>
  </si>
  <si>
    <r>
      <rPr>
        <sz val="8"/>
        <rFont val="Gill Sans MT"/>
        <family val="2"/>
      </rPr>
      <t>Teachers: Secondary - other subjects</t>
    </r>
  </si>
  <si>
    <r>
      <rPr>
        <sz val="8"/>
        <rFont val="Gill Sans MT"/>
        <family val="2"/>
      </rPr>
      <t>Teachers: Special education - primary and secondary</t>
    </r>
  </si>
  <si>
    <r>
      <rPr>
        <sz val="8"/>
        <rFont val="Gill Sans MT"/>
        <family val="2"/>
      </rPr>
      <t>Teachers: Other precollegiate area</t>
    </r>
  </si>
  <si>
    <r>
      <rPr>
        <sz val="8"/>
        <rFont val="Gill Sans MT"/>
        <family val="2"/>
      </rPr>
      <t>Postsecondary teachers - Art, drama, and music</t>
    </r>
  </si>
  <si>
    <r>
      <rPr>
        <sz val="8"/>
        <rFont val="Gill Sans MT"/>
        <family val="2"/>
      </rPr>
      <t>Postsecondary teachers - Business commerce and marketing</t>
    </r>
  </si>
  <si>
    <r>
      <rPr>
        <sz val="8"/>
        <rFont val="Gill Sans MT"/>
        <family val="2"/>
      </rPr>
      <t>Postsecondary teachers - Education</t>
    </r>
  </si>
  <si>
    <r>
      <rPr>
        <sz val="8"/>
        <rFont val="Gill Sans MT"/>
        <family val="2"/>
      </rPr>
      <t>Postsecondary teachers - English</t>
    </r>
  </si>
  <si>
    <r>
      <rPr>
        <sz val="8"/>
        <rFont val="Gill Sans MT"/>
        <family val="2"/>
      </rPr>
      <t>Postsecondary teachers - Foreign language</t>
    </r>
  </si>
  <si>
    <r>
      <rPr>
        <sz val="8"/>
        <rFont val="Gill Sans MT"/>
        <family val="2"/>
      </rPr>
      <t>Postsecondary teachers - History</t>
    </r>
  </si>
  <si>
    <r>
      <rPr>
        <sz val="8"/>
        <rFont val="Gill Sans MT"/>
        <family val="2"/>
      </rPr>
      <t>Postsecondary teachers - Physical education</t>
    </r>
  </si>
  <si>
    <r>
      <rPr>
        <sz val="8"/>
        <rFont val="Gill Sans MT"/>
        <family val="2"/>
      </rPr>
      <t>Postsecondary teachers - Other postsecondary fields</t>
    </r>
  </si>
  <si>
    <r>
      <rPr>
        <sz val="8"/>
        <rFont val="Gill Sans MT"/>
        <family val="2"/>
      </rPr>
      <t>Clergy and other religious workers</t>
    </r>
  </si>
  <si>
    <r>
      <rPr>
        <sz val="8"/>
        <rFont val="Gill Sans MT"/>
        <family val="2"/>
      </rPr>
      <t>Counselors, educational, vocational, mental health, and substance abuse</t>
    </r>
  </si>
  <si>
    <r>
      <rPr>
        <sz val="8"/>
        <rFont val="Gill Sans MT"/>
        <family val="2"/>
      </rPr>
      <t>Social workers</t>
    </r>
  </si>
  <si>
    <r>
      <rPr>
        <sz val="8"/>
        <rFont val="Gill Sans MT"/>
        <family val="2"/>
      </rPr>
      <t>Insurance, securities, real estate, and business services</t>
    </r>
  </si>
  <si>
    <r>
      <rPr>
        <sz val="8"/>
        <rFont val="Gill Sans MT"/>
        <family val="2"/>
      </rPr>
      <t>Sales occupations, commodities, except retail</t>
    </r>
  </si>
  <si>
    <r>
      <rPr>
        <sz val="8"/>
        <rFont val="Gill Sans MT"/>
        <family val="2"/>
      </rPr>
      <t>Sales occupations, retail</t>
    </r>
  </si>
  <si>
    <r>
      <rPr>
        <sz val="8"/>
        <rFont val="Gill Sans MT"/>
        <family val="2"/>
      </rPr>
      <t>Other marketing and sales occupations</t>
    </r>
  </si>
  <si>
    <r>
      <rPr>
        <sz val="8"/>
        <rFont val="Gill Sans MT"/>
        <family val="2"/>
      </rPr>
      <t>Writers, editors, public relations specialists, artists, entertainers, and broadcasters</t>
    </r>
  </si>
  <si>
    <r>
      <rPr>
        <sz val="8"/>
        <rFont val="Gill Sans MT"/>
        <family val="2"/>
      </rPr>
      <t>Historians</t>
    </r>
  </si>
  <si>
    <r>
      <rPr>
        <sz val="8"/>
        <rFont val="Gill Sans MT"/>
        <family val="2"/>
      </rPr>
      <t>Accounting clerks, and bookkeepers</t>
    </r>
  </si>
  <si>
    <r>
      <rPr>
        <sz val="8"/>
        <rFont val="Gill Sans MT"/>
        <family val="2"/>
      </rPr>
      <t>Secretaries, receptionists, and typists</t>
    </r>
  </si>
  <si>
    <r>
      <rPr>
        <sz val="8"/>
        <rFont val="Gill Sans MT"/>
        <family val="2"/>
      </rPr>
      <t>Other administrative occupations</t>
    </r>
  </si>
  <si>
    <r>
      <rPr>
        <sz val="8"/>
        <rFont val="Gill Sans MT"/>
        <family val="2"/>
      </rPr>
      <t>Farmers, foresters, and fishermen</t>
    </r>
  </si>
  <si>
    <r>
      <rPr>
        <sz val="8"/>
        <rFont val="Gill Sans MT"/>
        <family val="2"/>
      </rPr>
      <t>Lawyers and judges</t>
    </r>
  </si>
  <si>
    <r>
      <rPr>
        <sz val="8"/>
        <rFont val="Gill Sans MT"/>
        <family val="2"/>
      </rPr>
      <t>Librarians, archivists, and curators</t>
    </r>
  </si>
  <si>
    <r>
      <rPr>
        <sz val="8"/>
        <rFont val="Gill Sans MT"/>
        <family val="2"/>
      </rPr>
      <t>Food preparation and service occupations</t>
    </r>
  </si>
  <si>
    <r>
      <rPr>
        <sz val="8"/>
        <rFont val="Gill Sans MT"/>
        <family val="2"/>
      </rPr>
      <t>Protective services</t>
    </r>
  </si>
  <si>
    <r>
      <rPr>
        <sz val="8"/>
        <rFont val="Gill Sans MT"/>
        <family val="2"/>
      </rPr>
      <t>Other service occupations, except health</t>
    </r>
  </si>
  <si>
    <r>
      <rPr>
        <sz val="8"/>
        <rFont val="Gill Sans MT"/>
        <family val="2"/>
      </rPr>
      <t>Other teachers and instructors</t>
    </r>
  </si>
  <si>
    <r>
      <rPr>
        <sz val="8"/>
        <rFont val="Gill Sans MT"/>
        <family val="2"/>
      </rPr>
      <t>Construction and extraction occupations</t>
    </r>
  </si>
  <si>
    <r>
      <rPr>
        <sz val="8"/>
        <rFont val="Gill Sans MT"/>
        <family val="2"/>
      </rPr>
      <t>Installation, maintenance, and repair occupations</t>
    </r>
  </si>
  <si>
    <r>
      <rPr>
        <sz val="8"/>
        <rFont val="Gill Sans MT"/>
        <family val="2"/>
      </rPr>
      <t>Precision/ production occupations</t>
    </r>
  </si>
  <si>
    <r>
      <rPr>
        <sz val="8"/>
        <rFont val="Gill Sans MT"/>
        <family val="2"/>
      </rPr>
      <t>Transportation and material moving occupations</t>
    </r>
  </si>
  <si>
    <r>
      <rPr>
        <sz val="8"/>
        <rFont val="Gill Sans MT"/>
        <family val="2"/>
      </rPr>
      <t>Other occupations</t>
    </r>
  </si>
  <si>
    <r>
      <rPr>
        <sz val="8"/>
        <rFont val="Gill Sans MT"/>
        <family val="2"/>
      </rPr>
      <t xml:space="preserve">S&amp;E = science and engineering; NSCG = National Survey of College Graduates.
</t>
    </r>
    <r>
      <rPr>
        <vertAlign val="superscript"/>
        <sz val="7"/>
        <rFont val="Gill Sans MT"/>
        <family val="2"/>
      </rPr>
      <t xml:space="preserve">a </t>
    </r>
    <r>
      <rPr>
        <sz val="8"/>
        <rFont val="Gill Sans MT"/>
        <family val="2"/>
      </rPr>
      <t xml:space="preserve">This label was revised in 2019.
</t>
    </r>
    <r>
      <rPr>
        <vertAlign val="superscript"/>
        <sz val="7"/>
        <rFont val="Gill Sans MT"/>
        <family val="2"/>
      </rPr>
      <t xml:space="preserve">b </t>
    </r>
    <r>
      <rPr>
        <sz val="8"/>
        <rFont val="Gill Sans MT"/>
        <family val="2"/>
      </rPr>
      <t xml:space="preserve">"Oceanographers" were merged with "Geologists, including earth scientists" to form "Geologists, including earth scientists and oceanographers" (321940).
</t>
    </r>
    <r>
      <rPr>
        <vertAlign val="superscript"/>
        <sz val="7"/>
        <rFont val="Gill Sans MT"/>
        <family val="2"/>
      </rPr>
      <t xml:space="preserve">c </t>
    </r>
    <r>
      <rPr>
        <sz val="8"/>
        <rFont val="Gill Sans MT"/>
        <family val="2"/>
      </rPr>
      <t xml:space="preserve">"Astronomers" were separated from "Physicists and astronomers" to form "Physicists" (33).
</t>
    </r>
    <r>
      <rPr>
        <vertAlign val="superscript"/>
        <sz val="7"/>
        <rFont val="Gill Sans MT"/>
        <family val="2"/>
      </rPr>
      <t xml:space="preserve">d </t>
    </r>
    <r>
      <rPr>
        <sz val="8"/>
        <rFont val="Gill Sans MT"/>
        <family val="2"/>
      </rPr>
      <t xml:space="preserve">"Astronomers" were merged with "Other physical scientists" to form "Other physical scientists, including astronomers" (341980).
</t>
    </r>
    <r>
      <rPr>
        <vertAlign val="superscript"/>
        <sz val="7"/>
        <rFont val="Gill Sans MT"/>
        <family val="2"/>
      </rPr>
      <t xml:space="preserve">e </t>
    </r>
    <r>
      <rPr>
        <sz val="8"/>
        <rFont val="Gill Sans MT"/>
        <family val="2"/>
      </rPr>
      <t xml:space="preserve">"Sociologists" were separated from "Sociologists and anthropologists" to form "Anthropologists" (44).
</t>
    </r>
    <r>
      <rPr>
        <vertAlign val="superscript"/>
        <sz val="7"/>
        <rFont val="Gill Sans MT"/>
        <family val="2"/>
      </rPr>
      <t xml:space="preserve">f </t>
    </r>
    <r>
      <rPr>
        <sz val="8"/>
        <rFont val="Gill Sans MT"/>
        <family val="2"/>
      </rPr>
      <t xml:space="preserve">"Sociologists" were merged with "Other social scientists" to form "Other social scientists, including sociologists" (452380).
</t>
    </r>
    <r>
      <rPr>
        <vertAlign val="superscript"/>
        <sz val="7"/>
        <rFont val="Gill Sans MT"/>
        <family val="2"/>
      </rPr>
      <t xml:space="preserve">g </t>
    </r>
    <r>
      <rPr>
        <sz val="8"/>
        <rFont val="Gill Sans MT"/>
        <family val="2"/>
      </rPr>
      <t xml:space="preserve">"Agricultural engineers" and "Mining and geological engineers" were merged with "Other engineers" to form "Other engineers, including agricultural, mining, and geological" (570990).
</t>
    </r>
    <r>
      <rPr>
        <vertAlign val="superscript"/>
        <sz val="7"/>
        <rFont val="Gill Sans MT"/>
        <family val="2"/>
      </rPr>
      <t xml:space="preserve">h </t>
    </r>
    <r>
      <rPr>
        <sz val="8"/>
        <rFont val="Gill Sans MT"/>
        <family val="2"/>
      </rPr>
      <t xml:space="preserve">"Technologists and technicians in the mathematical sciences" were merged with "Technologists and technicians in the physical sciences" to form "Technologists and technicians in the mathematical or physical sciences" (641970).
</t>
    </r>
    <r>
      <rPr>
        <b/>
        <sz val="8"/>
        <rFont val="Gill Sans MT"/>
        <family val="2"/>
      </rPr>
      <t xml:space="preserve">Source(s):
</t>
    </r>
    <r>
      <rPr>
        <sz val="8"/>
        <rFont val="Gill Sans MT"/>
        <family val="2"/>
      </rPr>
      <t>National Center for Science and Engineering Statistics, National Survey of College Graduates, 2021.</t>
    </r>
  </si>
  <si>
    <r>
      <rPr>
        <b/>
        <sz val="16.5"/>
        <color rgb="FF2060AC"/>
        <rFont val="Gill Sans MT"/>
        <family val="2"/>
      </rPr>
      <t>Notes</t>
    </r>
  </si>
  <si>
    <r>
      <rPr>
        <sz val="10"/>
        <color rgb="FF005394"/>
        <rFont val="Gill Sans MT"/>
        <family val="2"/>
      </rPr>
      <t xml:space="preserve">1   </t>
    </r>
    <r>
      <rPr>
        <sz val="10"/>
        <rFont val="Gill Sans MT"/>
        <family val="2"/>
      </rPr>
      <t xml:space="preserve">Bachelor’s degrees include equivalent undergraduate academic degrees awarded by colleges and universities in
</t>
    </r>
    <r>
      <rPr>
        <sz val="10"/>
        <rFont val="Gill Sans MT"/>
        <family val="2"/>
      </rPr>
      <t xml:space="preserve">countries that may name their degrees differently.
</t>
    </r>
    <r>
      <rPr>
        <sz val="10"/>
        <color rgb="FF005394"/>
        <rFont val="Gill Sans MT"/>
        <family val="2"/>
      </rPr>
      <t xml:space="preserve">2   </t>
    </r>
    <r>
      <rPr>
        <sz val="10"/>
        <rFont val="Gill Sans MT"/>
        <family val="2"/>
      </rPr>
      <t>With PPS sampling, the probability of selection was proportional to the ACS final person-level weight, adjusted to account for imputed educational attainment, incomplete addresses, or invalid names.</t>
    </r>
  </si>
  <si>
    <r>
      <rPr>
        <b/>
        <sz val="16.5"/>
        <color rgb="FF2060AC"/>
        <rFont val="Gill Sans MT"/>
        <family val="2"/>
      </rPr>
      <t>Acknowledgments and Suggested Citation</t>
    </r>
  </si>
  <si>
    <r>
      <rPr>
        <b/>
        <sz val="13.5"/>
        <rFont val="Gill Sans MT"/>
        <family val="2"/>
      </rPr>
      <t xml:space="preserve">Acknowledgments
</t>
    </r>
    <r>
      <rPr>
        <sz val="10"/>
        <rFont val="Gill Sans MT"/>
        <family val="2"/>
      </rPr>
      <t xml:space="preserve">Lynn Milan of the National Center for Science and Engineering Statistics (NCSES) developed and coordinated this report under the leadership of Emilda B. Rivers, NCSES Director; Vipin Arora, NCSES Deputy Director; and John Finamore, NCSES Chief Statistician. Jock Black (NCSES) reviewed the report.
</t>
    </r>
    <r>
      <rPr>
        <sz val="10"/>
        <rFont val="Gill Sans MT"/>
        <family val="2"/>
      </rPr>
      <t xml:space="preserve">The Census Bureau, under National Science Foundation interagency agreement number NCSE-2040211, collected and tabulated the data for the NSCG. The statistical data tables were compiled by Greg Orlofsky (Census) and verified by Nguyen Tu Tran (DMI). Data and publication processing support was provided by Devi Mishra, Christine Hamel, Tanya Gore, Joe Newman, and Rajinder Raut (NCSES).
</t>
    </r>
    <r>
      <rPr>
        <sz val="10"/>
        <rFont val="Gill Sans MT"/>
        <family val="2"/>
      </rPr>
      <t>NCSES thanks the college graduates who participated in the NSCG for their time and effort in generously contributing to the information included in this report.</t>
    </r>
  </si>
  <si>
    <r>
      <rPr>
        <b/>
        <sz val="13.5"/>
        <rFont val="Gill Sans MT"/>
        <family val="2"/>
      </rPr>
      <t xml:space="preserve">Suggested Citation
</t>
    </r>
    <r>
      <rPr>
        <sz val="10"/>
        <rFont val="Gill Sans MT"/>
        <family val="2"/>
      </rPr>
      <t xml:space="preserve">National Center for Science and Engineering Statistics (NCSES). 2022. </t>
    </r>
    <r>
      <rPr>
        <i/>
        <sz val="10"/>
        <rFont val="Gill Sans MT"/>
        <family val="2"/>
      </rPr>
      <t>National Survey of College Graduates: 2021</t>
    </r>
    <r>
      <rPr>
        <sz val="10"/>
        <rFont val="Gill Sans MT"/>
        <family val="2"/>
      </rPr>
      <t xml:space="preserve">. NSF 23-306. Alexandria, VA: National Science Foundation. Available at </t>
    </r>
    <r>
      <rPr>
        <sz val="10"/>
        <color rgb="FF004E9D"/>
        <rFont val="Gill Sans MT"/>
        <family val="2"/>
      </rPr>
      <t>https://ncses.nsf.gov/pubs/nsf23306/</t>
    </r>
    <r>
      <rPr>
        <sz val="10"/>
        <rFont val="Gill Sans MT"/>
        <family val="2"/>
      </rPr>
      <t>.</t>
    </r>
  </si>
  <si>
    <r>
      <rPr>
        <b/>
        <sz val="16.5"/>
        <color rgb="FF2060AC"/>
        <rFont val="Gill Sans MT"/>
        <family val="2"/>
      </rPr>
      <t>Contact Us</t>
    </r>
  </si>
  <si>
    <r>
      <rPr>
        <b/>
        <sz val="13.5"/>
        <rFont val="Gill Sans MT"/>
        <family val="2"/>
      </rPr>
      <t xml:space="preserve">Report Author
</t>
    </r>
    <r>
      <rPr>
        <sz val="10"/>
        <rFont val="Gill Sans MT"/>
        <family val="2"/>
      </rPr>
      <t xml:space="preserve">Lynn Milan Survey Manager NCSES
</t>
    </r>
    <r>
      <rPr>
        <sz val="10"/>
        <rFont val="Gill Sans MT"/>
        <family val="2"/>
      </rPr>
      <t xml:space="preserve">Tel: (703) 292-2275
</t>
    </r>
    <r>
      <rPr>
        <sz val="10"/>
        <rFont val="Gill Sans MT"/>
        <family val="2"/>
      </rPr>
      <t xml:space="preserve">E-mail: </t>
    </r>
    <r>
      <rPr>
        <sz val="10"/>
        <color rgb="FF004E9D"/>
        <rFont val="Gill Sans MT"/>
        <family val="2"/>
      </rPr>
      <t>lmilan@nsf.gov</t>
    </r>
  </si>
  <si>
    <r>
      <rPr>
        <b/>
        <sz val="13.5"/>
        <rFont val="Gill Sans MT"/>
        <family val="2"/>
      </rPr>
      <t xml:space="preserve">NCSES
</t>
    </r>
    <r>
      <rPr>
        <sz val="10"/>
        <rFont val="Gill Sans MT"/>
        <family val="2"/>
      </rPr>
      <t xml:space="preserve">National Center for Science and Engineering Statistics Directorate for Social, Behavioral and Economic Sciences National Science Foundation
</t>
    </r>
    <r>
      <rPr>
        <sz val="10"/>
        <rFont val="Gill Sans MT"/>
        <family val="2"/>
      </rPr>
      <t xml:space="preserve">2415 Eisenhower Avenue, Suite W14200 Alexandria, VA 22314
</t>
    </r>
    <r>
      <rPr>
        <sz val="10"/>
        <rFont val="Gill Sans MT"/>
        <family val="2"/>
      </rPr>
      <t xml:space="preserve">Tel: (703) 292-8780
</t>
    </r>
    <r>
      <rPr>
        <sz val="10"/>
        <rFont val="Gill Sans MT"/>
        <family val="2"/>
      </rPr>
      <t xml:space="preserve">FIRS: (800) 877-8339
</t>
    </r>
    <r>
      <rPr>
        <sz val="10"/>
        <rFont val="Gill Sans MT"/>
        <family val="2"/>
      </rPr>
      <t xml:space="preserve">TDD: (800) 281-8749
</t>
    </r>
    <r>
      <rPr>
        <sz val="10"/>
        <rFont val="Gill Sans MT"/>
        <family val="2"/>
      </rPr>
      <t xml:space="preserve">E-mail </t>
    </r>
    <r>
      <rPr>
        <sz val="10"/>
        <color rgb="FF004E9D"/>
        <rFont val="Gill Sans MT"/>
        <family val="2"/>
      </rPr>
      <t>ncsesweb@nsf.gov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</si>
</sst>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
    <numFmt numFmtId="165" formatCode="#,##0.0"/>
    <numFmt numFmtId="166" formatCode="&quot;$&quot;#,##0.00"/>
    <numFmt numFmtId="167" formatCode="_([$$-409]* #,##0.00_);_([$$-409]* \(#,##0.00\);_([$$-409]* &quot;-&quot;??_);_(@_)"/>
    <numFmt numFmtId="168" formatCode="0.0000"/>
  </numFmts>
  <fonts count="42">
    <font>
      <sz val="10"/>
      <color rgb="FF000000"/>
      <name val="Times New Roman"/>
      <charset val="204"/>
    </font>
    <font>
      <b/>
      <sz val="16.5"/>
      <name val="Gill Sans MT"/>
      <family val="2"/>
    </font>
    <font>
      <sz val="12"/>
      <name val="Gill Sans MT"/>
      <family val="2"/>
    </font>
    <font>
      <sz val="10.5"/>
      <name val="Gill Sans MT"/>
      <family val="2"/>
    </font>
    <font>
      <sz val="10"/>
      <name val="Gill Sans MT"/>
      <family val="2"/>
    </font>
    <font>
      <b/>
      <sz val="13.5"/>
      <name val="Gill Sans MT"/>
      <family val="2"/>
    </font>
    <font>
      <sz val="8"/>
      <name val="Gill Sans MT"/>
      <family val="2"/>
    </font>
    <font>
      <sz val="8"/>
      <color rgb="FF000000"/>
      <name val="Gill Sans MT"/>
      <family val="2"/>
    </font>
    <font>
      <sz val="8"/>
      <name val="Trebuchet MS"/>
      <family val="2"/>
    </font>
    <font>
      <i/>
      <sz val="10"/>
      <name val="Gill Sans MT"/>
      <family val="2"/>
    </font>
    <font>
      <b/>
      <sz val="16.5"/>
      <color rgb="FF004E9D"/>
      <name val="Gill Sans MT"/>
      <family val="2"/>
    </font>
    <font>
      <sz val="12"/>
      <color rgb="FF707070"/>
      <name val="Gill Sans MT"/>
      <family val="2"/>
    </font>
    <font>
      <b/>
      <sz val="28.5"/>
      <color rgb="FF004E9D"/>
      <name val="Gill Sans MT"/>
      <family val="2"/>
    </font>
    <font>
      <b/>
      <sz val="11"/>
      <color rgb="FF5B0A0B"/>
      <name val="Gill Sans MT"/>
      <family val="2"/>
    </font>
    <font>
      <sz val="10.5"/>
      <color rgb="FF004E9D"/>
      <name val="Gill Sans MT"/>
      <family val="2"/>
    </font>
    <font>
      <b/>
      <sz val="16.5"/>
      <color rgb="FF2060AC"/>
      <name val="Gill Sans MT"/>
      <family val="2"/>
    </font>
    <font>
      <b/>
      <sz val="13.5"/>
      <color rgb="FF004E9D"/>
      <name val="Gill Sans MT"/>
      <family val="2"/>
    </font>
    <font>
      <sz val="9"/>
      <color rgb="FF004E9D"/>
      <name val="Gill Sans MT"/>
      <family val="2"/>
    </font>
    <font>
      <b/>
      <sz val="8"/>
      <color rgb="FF3F3F3F"/>
      <name val="Gill Sans MT"/>
      <family val="2"/>
    </font>
    <font>
      <b/>
      <sz val="9"/>
      <name val="Gill Sans MT"/>
      <family val="2"/>
    </font>
    <font>
      <sz val="7.5"/>
      <name val="Gill Sans MT"/>
      <family val="2"/>
    </font>
    <font>
      <vertAlign val="superscript"/>
      <sz val="7"/>
      <name val="Gill Sans MT"/>
      <family val="2"/>
    </font>
    <font>
      <b/>
      <sz val="8"/>
      <name val="Gill Sans MT"/>
      <family val="2"/>
    </font>
    <font>
      <b/>
      <sz val="9"/>
      <name val="Trebuchet MS"/>
      <family val="2"/>
    </font>
    <font>
      <sz val="10"/>
      <color rgb="FF004E9D"/>
      <name val="Gill Sans MT"/>
      <family val="2"/>
    </font>
    <font>
      <sz val="6"/>
      <name val="Arial"/>
      <family val="2"/>
    </font>
    <font>
      <vertAlign val="superscript"/>
      <sz val="6.5"/>
      <color rgb="FF005394"/>
      <name val="Gill Sans MT"/>
      <family val="2"/>
    </font>
    <font>
      <i/>
      <sz val="10"/>
      <color rgb="FF004E9D"/>
      <name val="Gill Sans MT"/>
      <family val="2"/>
    </font>
    <font>
      <sz val="10"/>
      <color rgb="FF005394"/>
      <name val="Gill Sans MT"/>
      <family val="2"/>
    </font>
    <font>
      <sz val="10"/>
      <color rgb="FF000000"/>
      <name val="Times New Roman"/>
      <family val="1"/>
    </font>
    <font>
      <sz val="9"/>
      <color indexed="0"/>
      <name val="Arial"/>
      <family val="2"/>
    </font>
    <font>
      <b/>
      <sz val="9"/>
      <color indexed="0"/>
      <name val="Arial"/>
      <family val="2"/>
    </font>
    <font>
      <sz val="8"/>
      <color indexed="0"/>
      <name val="Arial"/>
      <family val="2"/>
    </font>
    <font>
      <b/>
      <sz val="8"/>
      <color indexed="0"/>
      <name val="Arial"/>
      <family val="2"/>
    </font>
    <font>
      <b/>
      <sz val="12"/>
      <color indexed="0"/>
      <name val="Arial"/>
      <family val="2"/>
    </font>
    <font>
      <sz val="12"/>
      <color indexed="0"/>
      <name val="Arial"/>
      <family val="2"/>
    </font>
    <font>
      <sz val="8"/>
      <color rgb="FFFF0000"/>
      <name val="Arial"/>
      <family val="2"/>
    </font>
    <font>
      <sz val="11"/>
      <name val="Calibri"/>
      <family val="2"/>
    </font>
    <font>
      <vertAlign val="superscript"/>
      <sz val="11"/>
      <name val="Calibri"/>
      <family val="2"/>
    </font>
    <font>
      <sz val="11"/>
      <color rgb="FF000000"/>
      <name val="Calibri"/>
      <family val="2"/>
    </font>
    <font>
      <sz val="11"/>
      <color indexed="8"/>
      <name val="Calibri"/>
      <family val="2"/>
      <scheme val="minor"/>
    </font>
    <font>
      <b/>
      <sz val="10"/>
      <color rgb="FF000000"/>
      <name val="Times New Roman"/>
      <family val="1"/>
    </font>
  </fonts>
  <fills count="14">
    <fill>
      <patternFill patternType="none"/>
    </fill>
    <fill>
      <patternFill patternType="gray125"/>
    </fill>
    <fill>
      <patternFill patternType="solid">
        <fgColor rgb="FFECECED"/>
      </patternFill>
    </fill>
    <fill>
      <patternFill patternType="solid">
        <fgColor rgb="FFF7F7F7"/>
      </patternFill>
    </fill>
    <fill>
      <patternFill patternType="solid">
        <fgColor theme="3" tint="0.59999389629810485"/>
        <bgColor indexed="64"/>
      </patternFill>
    </fill>
    <fill>
      <patternFill patternType="solid">
        <fgColor rgb="FFFFCC66"/>
        <bgColor indexed="64"/>
      </patternFill>
    </fill>
    <fill>
      <patternFill patternType="solid">
        <fgColor rgb="FF99CCFF"/>
        <bgColor indexed="64"/>
      </patternFill>
    </fill>
    <fill>
      <patternFill patternType="solid">
        <fgColor rgb="FFFFCCFF"/>
        <bgColor indexed="64"/>
      </patternFill>
    </fill>
    <fill>
      <patternFill patternType="solid">
        <fgColor theme="0" tint="-0.14999847407452621"/>
        <bgColor indexed="64"/>
      </patternFill>
    </fill>
    <fill>
      <patternFill patternType="solid">
        <fgColor rgb="FF99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s>
  <borders count="21">
    <border>
      <left/>
      <right/>
      <top/>
      <bottom/>
      <diagonal/>
    </border>
    <border>
      <left style="thin">
        <color rgb="FFBEBEC0"/>
      </left>
      <right style="thin">
        <color rgb="FFBEBEC0"/>
      </right>
      <top style="thin">
        <color rgb="FFBABABA"/>
      </top>
      <bottom style="thin">
        <color rgb="FFBABABA"/>
      </bottom>
      <diagonal/>
    </border>
    <border>
      <left style="thin">
        <color rgb="FFBEBEC0"/>
      </left>
      <right style="thin">
        <color rgb="FFBEBEC0"/>
      </right>
      <top style="thin">
        <color rgb="FFBABABA"/>
      </top>
      <bottom/>
      <diagonal/>
    </border>
    <border>
      <left style="thin">
        <color rgb="FFBEBEC0"/>
      </left>
      <right style="thin">
        <color rgb="FFBEBEC0"/>
      </right>
      <top/>
      <bottom style="thin">
        <color rgb="FFBABABA"/>
      </bottom>
      <diagonal/>
    </border>
    <border>
      <left style="thin">
        <color rgb="FFBEBEC0"/>
      </left>
      <right style="thin">
        <color rgb="FFBEBEC0"/>
      </right>
      <top style="thin">
        <color rgb="FFBABABA"/>
      </top>
      <bottom style="thin">
        <color rgb="FFBEBEC0"/>
      </bottom>
      <diagonal/>
    </border>
    <border>
      <left style="thin">
        <color rgb="FFBEBEC0"/>
      </left>
      <right/>
      <top style="thin">
        <color rgb="FFBABABA"/>
      </top>
      <bottom style="thin">
        <color rgb="FFBEBEC0"/>
      </bottom>
      <diagonal/>
    </border>
    <border>
      <left/>
      <right/>
      <top style="thin">
        <color rgb="FFBABABA"/>
      </top>
      <bottom style="thin">
        <color rgb="FFBEBEC0"/>
      </bottom>
      <diagonal/>
    </border>
    <border>
      <left/>
      <right style="thin">
        <color rgb="FFBEBEC0"/>
      </right>
      <top style="thin">
        <color rgb="FFBABABA"/>
      </top>
      <bottom style="thin">
        <color rgb="FFBEBEC0"/>
      </bottom>
      <diagonal/>
    </border>
    <border>
      <left style="thin">
        <color rgb="FFBEBEC0"/>
      </left>
      <right style="thin">
        <color rgb="FFBEBEC0"/>
      </right>
      <top style="thin">
        <color rgb="FFBEBEC0"/>
      </top>
      <bottom style="thin">
        <color rgb="FFBABABA"/>
      </bottom>
      <diagonal/>
    </border>
    <border>
      <left style="thin">
        <color rgb="FFBEBEC0"/>
      </left>
      <right style="thin">
        <color rgb="FFBEBEC0"/>
      </right>
      <top style="thin">
        <color rgb="FFBEBEC0"/>
      </top>
      <bottom style="thin">
        <color rgb="FFBEBEC0"/>
      </bottom>
      <diagonal/>
    </border>
    <border>
      <left style="thin">
        <color rgb="FFBEBEC0"/>
      </left>
      <right style="thin">
        <color rgb="FFBEBEC0"/>
      </right>
      <top/>
      <bottom/>
      <diagonal/>
    </border>
    <border>
      <left style="thin">
        <color rgb="FFBEBEC0"/>
      </left>
      <right/>
      <top style="thin">
        <color rgb="FFBEBEC0"/>
      </top>
      <bottom style="thin">
        <color rgb="FFBEBEC0"/>
      </bottom>
      <diagonal/>
    </border>
    <border>
      <left/>
      <right style="thin">
        <color rgb="FFBEBEC0"/>
      </right>
      <top style="thin">
        <color rgb="FFBEBEC0"/>
      </top>
      <bottom style="thin">
        <color rgb="FFBEBEC0"/>
      </bottom>
      <diagonal/>
    </border>
    <border>
      <left style="thin">
        <color rgb="FFBEBEC0"/>
      </left>
      <right style="thin">
        <color rgb="FFBEBEC0"/>
      </right>
      <top/>
      <bottom style="thin">
        <color rgb="FFBEBEC0"/>
      </bottom>
      <diagonal/>
    </border>
    <border>
      <left style="thin">
        <color rgb="FFBEBEC0"/>
      </left>
      <right style="thin">
        <color rgb="FFBEBEC0"/>
      </right>
      <top style="thin">
        <color rgb="FFBEBEC0"/>
      </top>
      <bottom/>
      <diagonal/>
    </border>
    <border>
      <left style="thin">
        <color indexed="64"/>
      </left>
      <right style="thin">
        <color indexed="64"/>
      </right>
      <top style="thin">
        <color indexed="64"/>
      </top>
      <bottom style="thin">
        <color indexed="64"/>
      </bottom>
      <diagonal/>
    </border>
    <border>
      <left/>
      <right style="thin">
        <color rgb="FFBEBEC0"/>
      </right>
      <top style="thin">
        <color rgb="FFBEBEC0"/>
      </top>
      <bottom style="thin">
        <color rgb="FFBABABA"/>
      </bottom>
      <diagonal/>
    </border>
    <border>
      <left/>
      <right style="thin">
        <color rgb="FFBEBEC0"/>
      </right>
      <top style="thin">
        <color rgb="FFBABABA"/>
      </top>
      <bottom/>
      <diagonal/>
    </border>
    <border>
      <left/>
      <right style="thin">
        <color rgb="FFBEBEC0"/>
      </right>
      <top/>
      <bottom style="thin">
        <color rgb="FFBABABA"/>
      </bottom>
      <diagonal/>
    </border>
    <border>
      <left style="thin">
        <color rgb="FFBEBEC0"/>
      </left>
      <right/>
      <top/>
      <bottom/>
      <diagonal/>
    </border>
    <border>
      <left style="thin">
        <color rgb="FFBEBEC0"/>
      </left>
      <right/>
      <top style="thin">
        <color rgb="FFBEBEC0"/>
      </top>
      <bottom style="thin">
        <color rgb="FFBABABA"/>
      </bottom>
      <diagonal/>
    </border>
  </borders>
  <cellStyleXfs count="2">
    <xf numFmtId="0" fontId="0" fillId="0" borderId="0"/>
    <xf numFmtId="0" fontId="40" fillId="0" borderId="0"/>
  </cellStyleXfs>
  <cellXfs count="457">
    <xf numFmtId="0" fontId="0" fillId="0" borderId="0" xfId="0" applyAlignment="1">
      <alignment horizontal="left" vertical="top"/>
    </xf>
    <xf numFmtId="0" fontId="1" fillId="0" borderId="0" xfId="0" applyFont="1" applyAlignment="1">
      <alignment horizontal="left" wrapText="1" indent="6"/>
    </xf>
    <xf numFmtId="0" fontId="2" fillId="0" borderId="0" xfId="0" applyFont="1" applyAlignment="1">
      <alignment horizontal="left" vertical="top" wrapText="1" indent="10"/>
    </xf>
    <xf numFmtId="0" fontId="6" fillId="3" borderId="8" xfId="0" applyFont="1" applyFill="1" applyBorder="1" applyAlignment="1">
      <alignment horizontal="left" vertical="center" wrapText="1" indent="2"/>
    </xf>
    <xf numFmtId="0" fontId="6" fillId="3" borderId="8" xfId="0" applyFont="1" applyFill="1" applyBorder="1" applyAlignment="1">
      <alignment horizontal="left" vertical="top" wrapText="1"/>
    </xf>
    <xf numFmtId="0" fontId="6" fillId="3" borderId="8" xfId="0" applyFont="1" applyFill="1" applyBorder="1" applyAlignment="1">
      <alignment horizontal="left" vertical="top" wrapText="1" indent="1"/>
    </xf>
    <xf numFmtId="0" fontId="6" fillId="0" borderId="4" xfId="0" applyFont="1" applyBorder="1" applyAlignment="1">
      <alignment horizontal="left" vertical="top" wrapText="1"/>
    </xf>
    <xf numFmtId="3" fontId="7" fillId="0" borderId="4" xfId="0" applyNumberFormat="1" applyFont="1" applyBorder="1" applyAlignment="1">
      <alignment horizontal="right" vertical="top" shrinkToFit="1"/>
    </xf>
    <xf numFmtId="0" fontId="6" fillId="0" borderId="9" xfId="0" applyFont="1" applyBorder="1" applyAlignment="1">
      <alignment horizontal="left" vertical="top" wrapText="1" indent="1"/>
    </xf>
    <xf numFmtId="3" fontId="7" fillId="0" borderId="9" xfId="0" applyNumberFormat="1" applyFont="1" applyBorder="1" applyAlignment="1">
      <alignment horizontal="right" vertical="top" shrinkToFit="1"/>
    </xf>
    <xf numFmtId="0" fontId="6" fillId="0" borderId="9" xfId="0" applyFont="1" applyBorder="1" applyAlignment="1">
      <alignment horizontal="left" vertical="top" wrapText="1" indent="2"/>
    </xf>
    <xf numFmtId="3" fontId="7" fillId="0" borderId="9" xfId="0" applyNumberFormat="1" applyFont="1" applyBorder="1" applyAlignment="1">
      <alignment horizontal="right" vertical="center" shrinkToFit="1"/>
    </xf>
    <xf numFmtId="0" fontId="6" fillId="0" borderId="9" xfId="0" applyFont="1" applyBorder="1" applyAlignment="1">
      <alignment horizontal="left" vertical="top" wrapText="1" indent="3"/>
    </xf>
    <xf numFmtId="0" fontId="6" fillId="0" borderId="9" xfId="0" applyFont="1" applyBorder="1" applyAlignment="1">
      <alignment horizontal="right" vertical="top" wrapText="1"/>
    </xf>
    <xf numFmtId="0" fontId="6" fillId="0" borderId="4" xfId="0" applyFont="1" applyBorder="1" applyAlignment="1">
      <alignment horizontal="left" vertical="top" wrapText="1" indent="2"/>
    </xf>
    <xf numFmtId="0" fontId="6" fillId="0" borderId="9" xfId="0" applyFont="1" applyBorder="1" applyAlignment="1">
      <alignment horizontal="left" vertical="top" wrapText="1" indent="4"/>
    </xf>
    <xf numFmtId="0" fontId="6" fillId="0" borderId="9" xfId="0" applyFont="1" applyBorder="1" applyAlignment="1">
      <alignment horizontal="right" vertical="center" wrapText="1"/>
    </xf>
    <xf numFmtId="0" fontId="6" fillId="0" borderId="4" xfId="0" applyFont="1" applyBorder="1" applyAlignment="1">
      <alignment horizontal="left" vertical="top" wrapText="1" indent="1"/>
    </xf>
    <xf numFmtId="0" fontId="6" fillId="0" borderId="4" xfId="0" applyFont="1" applyBorder="1" applyAlignment="1">
      <alignment horizontal="left" vertical="top" wrapText="1" indent="3"/>
    </xf>
    <xf numFmtId="0" fontId="6" fillId="0" borderId="4" xfId="0" applyFont="1" applyBorder="1" applyAlignment="1">
      <alignment horizontal="right" vertical="top" wrapText="1"/>
    </xf>
    <xf numFmtId="0" fontId="6" fillId="0" borderId="8" xfId="0" applyFont="1" applyBorder="1" applyAlignment="1">
      <alignment horizontal="left" vertical="top" wrapText="1" indent="2"/>
    </xf>
    <xf numFmtId="3" fontId="7" fillId="0" borderId="8" xfId="0" applyNumberFormat="1" applyFont="1" applyBorder="1" applyAlignment="1">
      <alignment horizontal="right" vertical="top" shrinkToFit="1"/>
    </xf>
    <xf numFmtId="0" fontId="6" fillId="3" borderId="8" xfId="0" applyFont="1" applyFill="1" applyBorder="1" applyAlignment="1">
      <alignment horizontal="left" wrapText="1" indent="1"/>
    </xf>
    <xf numFmtId="0" fontId="6" fillId="3" borderId="8" xfId="0" applyFont="1" applyFill="1" applyBorder="1" applyAlignment="1">
      <alignment horizontal="center" vertical="top" wrapText="1"/>
    </xf>
    <xf numFmtId="0" fontId="6" fillId="3" borderId="8" xfId="0" applyFont="1" applyFill="1" applyBorder="1" applyAlignment="1">
      <alignment horizontal="right" wrapText="1"/>
    </xf>
    <xf numFmtId="3" fontId="7" fillId="0" borderId="9" xfId="0" applyNumberFormat="1" applyFont="1" applyBorder="1" applyAlignment="1">
      <alignment horizontal="right" shrinkToFit="1"/>
    </xf>
    <xf numFmtId="0" fontId="6" fillId="0" borderId="9" xfId="0" applyFont="1" applyBorder="1" applyAlignment="1">
      <alignment horizontal="right" wrapText="1"/>
    </xf>
    <xf numFmtId="3" fontId="7" fillId="0" borderId="4" xfId="0" applyNumberFormat="1" applyFont="1" applyBorder="1" applyAlignment="1">
      <alignment horizontal="right" shrinkToFit="1"/>
    </xf>
    <xf numFmtId="0" fontId="6" fillId="0" borderId="4" xfId="0" applyFont="1" applyBorder="1" applyAlignment="1">
      <alignment horizontal="right" wrapText="1"/>
    </xf>
    <xf numFmtId="3" fontId="7" fillId="0" borderId="4" xfId="0" applyNumberFormat="1" applyFont="1" applyBorder="1" applyAlignment="1">
      <alignment horizontal="right" vertical="center" shrinkToFit="1"/>
    </xf>
    <xf numFmtId="0" fontId="6" fillId="0" borderId="4" xfId="0" applyFont="1" applyBorder="1" applyAlignment="1">
      <alignment horizontal="left" vertical="top" wrapText="1" indent="4"/>
    </xf>
    <xf numFmtId="3" fontId="7" fillId="0" borderId="4" xfId="0" applyNumberFormat="1" applyFont="1" applyBorder="1" applyAlignment="1">
      <alignment horizontal="left" vertical="center" indent="2" shrinkToFit="1"/>
    </xf>
    <xf numFmtId="0" fontId="6" fillId="0" borderId="4" xfId="0" applyFont="1" applyBorder="1" applyAlignment="1">
      <alignment horizontal="right" vertical="center" wrapText="1"/>
    </xf>
    <xf numFmtId="3" fontId="7" fillId="0" borderId="9" xfId="0" applyNumberFormat="1" applyFont="1" applyBorder="1" applyAlignment="1">
      <alignment horizontal="left" vertical="center" indent="2" shrinkToFit="1"/>
    </xf>
    <xf numFmtId="3" fontId="7" fillId="0" borderId="9" xfId="0" applyNumberFormat="1" applyFont="1" applyBorder="1" applyAlignment="1">
      <alignment horizontal="left" vertical="top" indent="1" shrinkToFit="1"/>
    </xf>
    <xf numFmtId="3" fontId="7" fillId="0" borderId="9" xfId="0" applyNumberFormat="1" applyFont="1" applyBorder="1" applyAlignment="1">
      <alignment horizontal="left" indent="2" shrinkToFit="1"/>
    </xf>
    <xf numFmtId="3" fontId="7" fillId="0" borderId="9" xfId="0" applyNumberFormat="1" applyFont="1" applyBorder="1" applyAlignment="1">
      <alignment horizontal="left" indent="1" shrinkToFit="1"/>
    </xf>
    <xf numFmtId="3" fontId="7" fillId="0" borderId="9" xfId="0" applyNumberFormat="1" applyFont="1" applyBorder="1" applyAlignment="1">
      <alignment horizontal="left" vertical="center" indent="1" shrinkToFit="1"/>
    </xf>
    <xf numFmtId="3" fontId="7" fillId="0" borderId="9" xfId="0" applyNumberFormat="1" applyFont="1" applyBorder="1" applyAlignment="1">
      <alignment horizontal="left" vertical="top" indent="2" shrinkToFit="1"/>
    </xf>
    <xf numFmtId="0" fontId="6" fillId="0" borderId="9" xfId="0" applyFont="1" applyBorder="1" applyAlignment="1">
      <alignment horizontal="right" vertical="top" wrapText="1" indent="1"/>
    </xf>
    <xf numFmtId="0" fontId="6" fillId="0" borderId="8" xfId="0" applyFont="1" applyBorder="1" applyAlignment="1">
      <alignment horizontal="right" vertical="top" wrapText="1"/>
    </xf>
    <xf numFmtId="0" fontId="6" fillId="3" borderId="8" xfId="0" applyFont="1" applyFill="1" applyBorder="1" applyAlignment="1">
      <alignment horizontal="left" vertical="top" wrapText="1" indent="2"/>
    </xf>
    <xf numFmtId="0" fontId="6" fillId="0" borderId="9" xfId="0" applyFont="1" applyBorder="1" applyAlignment="1">
      <alignment horizontal="right" vertical="top" wrapText="1" indent="8"/>
    </xf>
    <xf numFmtId="0" fontId="0" fillId="3" borderId="8" xfId="0" applyFill="1" applyBorder="1" applyAlignment="1">
      <alignment horizontal="left" vertical="top" wrapText="1" indent="2"/>
    </xf>
    <xf numFmtId="0" fontId="6" fillId="3" borderId="8" xfId="0" applyFont="1" applyFill="1" applyBorder="1" applyAlignment="1">
      <alignment horizontal="left" vertical="top" wrapText="1" indent="4"/>
    </xf>
    <xf numFmtId="0" fontId="6" fillId="0" borderId="9" xfId="0" applyFont="1" applyBorder="1" applyAlignment="1">
      <alignment horizontal="right" vertical="top" wrapText="1" indent="10"/>
    </xf>
    <xf numFmtId="0" fontId="6" fillId="3" borderId="1" xfId="0" applyFont="1" applyFill="1" applyBorder="1" applyAlignment="1">
      <alignment horizontal="left" vertical="center" wrapText="1" indent="2"/>
    </xf>
    <xf numFmtId="0" fontId="6" fillId="0" borderId="9" xfId="0" applyFont="1" applyBorder="1" applyAlignment="1">
      <alignment horizontal="right" vertical="top" wrapText="1" indent="7"/>
    </xf>
    <xf numFmtId="0" fontId="6" fillId="3" borderId="8" xfId="0" applyFont="1" applyFill="1" applyBorder="1" applyAlignment="1">
      <alignment horizontal="left" vertical="top" wrapText="1" indent="3"/>
    </xf>
    <xf numFmtId="0" fontId="6" fillId="0" borderId="8" xfId="0" applyFont="1" applyBorder="1" applyAlignment="1">
      <alignment horizontal="left" vertical="top" wrapText="1" indent="3"/>
    </xf>
    <xf numFmtId="0" fontId="6" fillId="3" borderId="8" xfId="0" applyFont="1" applyFill="1" applyBorder="1" applyAlignment="1">
      <alignment horizontal="left" wrapText="1" indent="2"/>
    </xf>
    <xf numFmtId="0" fontId="6" fillId="0" borderId="4" xfId="0" applyFont="1" applyBorder="1" applyAlignment="1">
      <alignment horizontal="right" vertical="top" wrapText="1" indent="1"/>
    </xf>
    <xf numFmtId="3" fontId="7" fillId="0" borderId="8" xfId="0" applyNumberFormat="1" applyFont="1" applyBorder="1" applyAlignment="1">
      <alignment horizontal="right" vertical="center" shrinkToFit="1"/>
    </xf>
    <xf numFmtId="0" fontId="0" fillId="0" borderId="9" xfId="0" applyBorder="1" applyAlignment="1">
      <alignment horizontal="left" wrapText="1"/>
    </xf>
    <xf numFmtId="0" fontId="6" fillId="3" borderId="1" xfId="0" applyFont="1" applyFill="1" applyBorder="1" applyAlignment="1">
      <alignment horizontal="left" vertical="top" wrapText="1"/>
    </xf>
    <xf numFmtId="0" fontId="6" fillId="3" borderId="8" xfId="0" applyFont="1" applyFill="1" applyBorder="1" applyAlignment="1">
      <alignment horizontal="left" vertical="center" wrapText="1" indent="1"/>
    </xf>
    <xf numFmtId="0" fontId="0" fillId="3" borderId="8" xfId="0" applyFill="1" applyBorder="1" applyAlignment="1">
      <alignment horizontal="left" vertical="top" wrapText="1" indent="1"/>
    </xf>
    <xf numFmtId="0" fontId="6" fillId="3" borderId="8" xfId="0" applyFont="1" applyFill="1" applyBorder="1" applyAlignment="1">
      <alignment horizontal="right" vertical="center" wrapText="1"/>
    </xf>
    <xf numFmtId="0" fontId="0" fillId="3" borderId="8" xfId="0" applyFill="1" applyBorder="1" applyAlignment="1">
      <alignment horizontal="left" vertical="center" wrapText="1" indent="1"/>
    </xf>
    <xf numFmtId="0" fontId="6" fillId="0" borderId="9" xfId="0" applyFont="1" applyBorder="1" applyAlignment="1">
      <alignment horizontal="right" vertical="top" wrapText="1" indent="6"/>
    </xf>
    <xf numFmtId="0" fontId="8" fillId="3" borderId="8" xfId="0" applyFont="1" applyFill="1" applyBorder="1" applyAlignment="1">
      <alignment horizontal="left" vertical="top" wrapText="1" indent="2"/>
    </xf>
    <xf numFmtId="0" fontId="8" fillId="3" borderId="8" xfId="0" applyFont="1" applyFill="1" applyBorder="1" applyAlignment="1">
      <alignment horizontal="left" vertical="top" wrapText="1" indent="1"/>
    </xf>
    <xf numFmtId="0" fontId="6" fillId="3" borderId="8" xfId="0" applyFont="1" applyFill="1" applyBorder="1" applyAlignment="1">
      <alignment horizontal="left" vertical="center" wrapText="1"/>
    </xf>
    <xf numFmtId="0" fontId="6" fillId="3" borderId="8" xfId="0" applyFont="1" applyFill="1" applyBorder="1" applyAlignment="1">
      <alignment horizontal="center" vertical="center" wrapText="1"/>
    </xf>
    <xf numFmtId="3" fontId="7" fillId="0" borderId="4" xfId="0" applyNumberFormat="1" applyFont="1" applyBorder="1" applyAlignment="1">
      <alignment horizontal="center" vertical="center" shrinkToFit="1"/>
    </xf>
    <xf numFmtId="3" fontId="7" fillId="0" borderId="4" xfId="0" applyNumberFormat="1" applyFont="1" applyBorder="1" applyAlignment="1">
      <alignment horizontal="left" vertical="center" indent="1" shrinkToFit="1"/>
    </xf>
    <xf numFmtId="3" fontId="7" fillId="0" borderId="9" xfId="0" applyNumberFormat="1" applyFont="1" applyBorder="1" applyAlignment="1">
      <alignment horizontal="center" vertical="top" shrinkToFit="1"/>
    </xf>
    <xf numFmtId="3" fontId="7" fillId="0" borderId="9" xfId="0" applyNumberFormat="1" applyFont="1" applyBorder="1" applyAlignment="1">
      <alignment horizontal="left" vertical="top" shrinkToFit="1"/>
    </xf>
    <xf numFmtId="3" fontId="7" fillId="0" borderId="9" xfId="0" applyNumberFormat="1" applyFont="1" applyBorder="1" applyAlignment="1">
      <alignment horizontal="center" shrinkToFit="1"/>
    </xf>
    <xf numFmtId="3" fontId="7" fillId="0" borderId="9" xfId="0" applyNumberFormat="1" applyFont="1" applyBorder="1" applyAlignment="1">
      <alignment horizontal="center" vertical="center" shrinkToFit="1"/>
    </xf>
    <xf numFmtId="3" fontId="7" fillId="0" borderId="9" xfId="0" applyNumberFormat="1" applyFont="1" applyBorder="1" applyAlignment="1">
      <alignment horizontal="left" shrinkToFit="1"/>
    </xf>
    <xf numFmtId="3" fontId="7" fillId="0" borderId="4" xfId="0" applyNumberFormat="1" applyFont="1" applyBorder="1" applyAlignment="1">
      <alignment horizontal="left" vertical="top" shrinkToFit="1"/>
    </xf>
    <xf numFmtId="3" fontId="7" fillId="0" borderId="9" xfId="0" applyNumberFormat="1" applyFont="1" applyBorder="1" applyAlignment="1">
      <alignment horizontal="left" vertical="center" shrinkToFit="1"/>
    </xf>
    <xf numFmtId="3" fontId="7" fillId="0" borderId="4" xfId="0" applyNumberFormat="1" applyFont="1" applyBorder="1" applyAlignment="1">
      <alignment horizontal="center" vertical="top" shrinkToFit="1"/>
    </xf>
    <xf numFmtId="3" fontId="7" fillId="0" borderId="4" xfId="0" applyNumberFormat="1" applyFont="1" applyBorder="1" applyAlignment="1">
      <alignment horizontal="left" vertical="top" indent="1" shrinkToFit="1"/>
    </xf>
    <xf numFmtId="3" fontId="7" fillId="0" borderId="8" xfId="0" applyNumberFormat="1" applyFont="1" applyBorder="1" applyAlignment="1">
      <alignment horizontal="center" vertical="top" shrinkToFit="1"/>
    </xf>
    <xf numFmtId="3" fontId="7" fillId="0" borderId="8" xfId="0" applyNumberFormat="1" applyFont="1" applyBorder="1" applyAlignment="1">
      <alignment horizontal="left" vertical="top" indent="1" shrinkToFit="1"/>
    </xf>
    <xf numFmtId="0" fontId="0" fillId="0" borderId="4" xfId="0" applyBorder="1" applyAlignment="1">
      <alignment horizontal="left" wrapText="1"/>
    </xf>
    <xf numFmtId="0" fontId="6" fillId="0" borderId="9" xfId="0" applyFont="1" applyBorder="1" applyAlignment="1">
      <alignment horizontal="right" vertical="top" wrapText="1" indent="24"/>
    </xf>
    <xf numFmtId="0" fontId="6" fillId="0" borderId="8" xfId="0" applyFont="1" applyBorder="1" applyAlignment="1">
      <alignment horizontal="left" vertical="top" wrapText="1" indent="4"/>
    </xf>
    <xf numFmtId="164" fontId="7" fillId="3" borderId="8" xfId="0" applyNumberFormat="1" applyFont="1" applyFill="1" applyBorder="1" applyAlignment="1">
      <alignment horizontal="center" vertical="top" shrinkToFit="1"/>
    </xf>
    <xf numFmtId="0" fontId="6" fillId="0" borderId="9" xfId="0" applyFont="1" applyBorder="1" applyAlignment="1">
      <alignment horizontal="right" vertical="top" wrapText="1" indent="11"/>
    </xf>
    <xf numFmtId="0" fontId="6" fillId="3" borderId="1" xfId="0" applyFont="1" applyFill="1" applyBorder="1" applyAlignment="1">
      <alignment horizontal="left" vertical="top" wrapText="1" indent="1"/>
    </xf>
    <xf numFmtId="0" fontId="0" fillId="3" borderId="1" xfId="0" applyFill="1" applyBorder="1" applyAlignment="1">
      <alignment horizontal="left" vertical="top" wrapText="1" indent="1"/>
    </xf>
    <xf numFmtId="0" fontId="0" fillId="3" borderId="1" xfId="0" applyFill="1" applyBorder="1" applyAlignment="1">
      <alignment horizontal="right" vertical="center" wrapText="1"/>
    </xf>
    <xf numFmtId="0" fontId="6" fillId="3" borderId="1" xfId="0" applyFont="1" applyFill="1" applyBorder="1" applyAlignment="1">
      <alignment horizontal="right" vertical="top" wrapText="1"/>
    </xf>
    <xf numFmtId="1" fontId="7" fillId="3" borderId="1" xfId="0" applyNumberFormat="1" applyFont="1" applyFill="1" applyBorder="1" applyAlignment="1">
      <alignment horizontal="left" vertical="top" indent="1" shrinkToFit="1"/>
    </xf>
    <xf numFmtId="1" fontId="7" fillId="3" borderId="1" xfId="0" applyNumberFormat="1" applyFont="1" applyFill="1" applyBorder="1" applyAlignment="1">
      <alignment horizontal="left" vertical="top" indent="2" shrinkToFit="1"/>
    </xf>
    <xf numFmtId="1" fontId="7" fillId="0" borderId="4" xfId="0" applyNumberFormat="1" applyFont="1" applyBorder="1" applyAlignment="1">
      <alignment horizontal="left" vertical="top" shrinkToFit="1"/>
    </xf>
    <xf numFmtId="1" fontId="7" fillId="0" borderId="4" xfId="0" applyNumberFormat="1" applyFont="1" applyBorder="1" applyAlignment="1">
      <alignment horizontal="center" vertical="top" shrinkToFit="1"/>
    </xf>
    <xf numFmtId="1" fontId="7" fillId="0" borderId="9" xfId="0" applyNumberFormat="1" applyFont="1" applyBorder="1" applyAlignment="1">
      <alignment horizontal="center" vertical="top" shrinkToFit="1"/>
    </xf>
    <xf numFmtId="0" fontId="6" fillId="0" borderId="9" xfId="0" applyFont="1" applyBorder="1" applyAlignment="1">
      <alignment horizontal="left" vertical="top" wrapText="1"/>
    </xf>
    <xf numFmtId="1" fontId="7" fillId="0" borderId="9" xfId="0" applyNumberFormat="1" applyFont="1" applyBorder="1" applyAlignment="1">
      <alignment horizontal="left" vertical="top" shrinkToFit="1"/>
    </xf>
    <xf numFmtId="1" fontId="7" fillId="0" borderId="14" xfId="0" applyNumberFormat="1" applyFont="1" applyBorder="1" applyAlignment="1">
      <alignment horizontal="left" vertical="top" shrinkToFit="1"/>
    </xf>
    <xf numFmtId="0" fontId="6" fillId="0" borderId="14" xfId="0" applyFont="1"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1" fontId="7" fillId="0" borderId="9" xfId="0" applyNumberFormat="1" applyFont="1" applyBorder="1" applyAlignment="1">
      <alignment horizontal="center" vertical="center" shrinkToFit="1"/>
    </xf>
    <xf numFmtId="1" fontId="7" fillId="0" borderId="8" xfId="0" applyNumberFormat="1" applyFont="1" applyBorder="1" applyAlignment="1">
      <alignment horizontal="center" vertical="top" shrinkToFit="1"/>
    </xf>
    <xf numFmtId="0" fontId="6" fillId="0" borderId="8" xfId="0" applyFont="1" applyBorder="1" applyAlignment="1">
      <alignment horizontal="left" vertical="top" wrapText="1"/>
    </xf>
    <xf numFmtId="1" fontId="7" fillId="0" borderId="9" xfId="0" applyNumberFormat="1" applyFont="1" applyBorder="1" applyAlignment="1">
      <alignment horizontal="left" vertical="center" shrinkToFit="1"/>
    </xf>
    <xf numFmtId="0" fontId="6" fillId="3" borderId="2" xfId="0" applyFont="1" applyFill="1" applyBorder="1" applyAlignment="1">
      <alignment horizontal="left" vertical="top" wrapText="1"/>
    </xf>
    <xf numFmtId="3" fontId="0" fillId="0" borderId="0" xfId="0" applyNumberFormat="1" applyAlignment="1">
      <alignment horizontal="left" vertical="top"/>
    </xf>
    <xf numFmtId="3" fontId="7" fillId="4" borderId="4" xfId="0" applyNumberFormat="1" applyFont="1" applyFill="1" applyBorder="1" applyAlignment="1">
      <alignment horizontal="right" vertical="top" shrinkToFit="1"/>
    </xf>
    <xf numFmtId="3" fontId="7" fillId="5" borderId="9" xfId="0" applyNumberFormat="1" applyFont="1" applyFill="1" applyBorder="1" applyAlignment="1">
      <alignment horizontal="right" vertical="top" shrinkToFit="1"/>
    </xf>
    <xf numFmtId="3" fontId="7" fillId="0" borderId="12" xfId="0" applyNumberFormat="1" applyFont="1" applyBorder="1" applyAlignment="1">
      <alignment horizontal="right" vertical="top" shrinkToFit="1"/>
    </xf>
    <xf numFmtId="3" fontId="7" fillId="0" borderId="12" xfId="0" applyNumberFormat="1" applyFont="1" applyBorder="1" applyAlignment="1">
      <alignment horizontal="right" vertical="center" shrinkToFit="1"/>
    </xf>
    <xf numFmtId="3" fontId="7" fillId="0" borderId="7" xfId="0" applyNumberFormat="1" applyFont="1" applyBorder="1" applyAlignment="1">
      <alignment horizontal="right" vertical="top" shrinkToFit="1"/>
    </xf>
    <xf numFmtId="0" fontId="6" fillId="5" borderId="8" xfId="0" applyFont="1" applyFill="1" applyBorder="1" applyAlignment="1">
      <alignment horizontal="left" vertical="top" wrapText="1" indent="2"/>
    </xf>
    <xf numFmtId="3" fontId="7" fillId="5" borderId="12" xfId="0" applyNumberFormat="1" applyFont="1" applyFill="1" applyBorder="1" applyAlignment="1">
      <alignment horizontal="right" vertical="top" shrinkToFit="1"/>
    </xf>
    <xf numFmtId="3" fontId="7" fillId="0" borderId="16" xfId="0" applyNumberFormat="1" applyFont="1" applyBorder="1" applyAlignment="1">
      <alignment horizontal="right" vertical="top" shrinkToFit="1"/>
    </xf>
    <xf numFmtId="0" fontId="6" fillId="5" borderId="15" xfId="0" applyFont="1" applyFill="1" applyBorder="1" applyAlignment="1">
      <alignment horizontal="left" vertical="top" wrapText="1" indent="1"/>
    </xf>
    <xf numFmtId="0" fontId="6" fillId="5" borderId="15" xfId="0" applyFont="1" applyFill="1" applyBorder="1" applyAlignment="1">
      <alignment horizontal="left" vertical="top" wrapText="1" indent="2"/>
    </xf>
    <xf numFmtId="3" fontId="7" fillId="4" borderId="7" xfId="0" applyNumberFormat="1" applyFont="1" applyFill="1" applyBorder="1" applyAlignment="1">
      <alignment horizontal="right" vertical="top" shrinkToFit="1"/>
    </xf>
    <xf numFmtId="0" fontId="6" fillId="6" borderId="15" xfId="0" applyFont="1" applyFill="1" applyBorder="1" applyAlignment="1">
      <alignment horizontal="left" vertical="top" wrapText="1" indent="1"/>
    </xf>
    <xf numFmtId="0" fontId="6" fillId="6" borderId="15" xfId="0" applyFont="1" applyFill="1" applyBorder="1" applyAlignment="1">
      <alignment horizontal="left" vertical="top" wrapText="1" indent="2"/>
    </xf>
    <xf numFmtId="0" fontId="6" fillId="6" borderId="15" xfId="0" applyFont="1" applyFill="1" applyBorder="1" applyAlignment="1">
      <alignment horizontal="left" vertical="top" wrapText="1" indent="3"/>
    </xf>
    <xf numFmtId="0" fontId="6" fillId="6" borderId="15" xfId="0" applyFont="1" applyFill="1" applyBorder="1" applyAlignment="1">
      <alignment horizontal="left" vertical="top" wrapText="1" indent="4"/>
    </xf>
    <xf numFmtId="0" fontId="6" fillId="6" borderId="15" xfId="0" applyFont="1" applyFill="1" applyBorder="1" applyAlignment="1">
      <alignment horizontal="right" vertical="top" wrapText="1"/>
    </xf>
    <xf numFmtId="3" fontId="7" fillId="7" borderId="9" xfId="0" applyNumberFormat="1" applyFont="1" applyFill="1" applyBorder="1" applyAlignment="1">
      <alignment horizontal="right" vertical="top" shrinkToFit="1"/>
    </xf>
    <xf numFmtId="0" fontId="6" fillId="7" borderId="15" xfId="0" applyFont="1" applyFill="1" applyBorder="1" applyAlignment="1">
      <alignment horizontal="left" vertical="top" wrapText="1" indent="2"/>
    </xf>
    <xf numFmtId="0" fontId="6" fillId="7" borderId="15" xfId="0" applyFont="1" applyFill="1" applyBorder="1" applyAlignment="1">
      <alignment horizontal="left" vertical="top" wrapText="1" indent="3"/>
    </xf>
    <xf numFmtId="0" fontId="6" fillId="7" borderId="15" xfId="0" applyFont="1" applyFill="1" applyBorder="1" applyAlignment="1">
      <alignment horizontal="left" vertical="top" wrapText="1" indent="4"/>
    </xf>
    <xf numFmtId="0" fontId="6" fillId="7" borderId="15" xfId="0" applyFont="1" applyFill="1" applyBorder="1" applyAlignment="1">
      <alignment horizontal="right" vertical="top" wrapText="1"/>
    </xf>
    <xf numFmtId="3" fontId="7" fillId="7" borderId="12" xfId="0" applyNumberFormat="1" applyFont="1" applyFill="1" applyBorder="1" applyAlignment="1">
      <alignment horizontal="right" vertical="top" shrinkToFit="1"/>
    </xf>
    <xf numFmtId="0" fontId="6" fillId="7" borderId="15" xfId="0" applyFont="1" applyFill="1" applyBorder="1" applyAlignment="1">
      <alignment horizontal="left" vertical="top" wrapText="1" indent="1"/>
    </xf>
    <xf numFmtId="3" fontId="7" fillId="8" borderId="4" xfId="0" applyNumberFormat="1" applyFont="1" applyFill="1" applyBorder="1" applyAlignment="1">
      <alignment horizontal="right" vertical="top" shrinkToFit="1"/>
    </xf>
    <xf numFmtId="3" fontId="7" fillId="8" borderId="7" xfId="0" applyNumberFormat="1" applyFont="1" applyFill="1" applyBorder="1" applyAlignment="1">
      <alignment horizontal="right" vertical="top" shrinkToFit="1"/>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indent="1"/>
    </xf>
    <xf numFmtId="0" fontId="6" fillId="8" borderId="15" xfId="0" applyFont="1" applyFill="1" applyBorder="1" applyAlignment="1">
      <alignment horizontal="left" vertical="top" wrapText="1" indent="2"/>
    </xf>
    <xf numFmtId="0" fontId="6" fillId="8" borderId="15" xfId="0" applyFont="1" applyFill="1" applyBorder="1" applyAlignment="1">
      <alignment horizontal="left" vertical="top" wrapText="1" indent="3"/>
    </xf>
    <xf numFmtId="3" fontId="7" fillId="0" borderId="12" xfId="0" applyNumberFormat="1" applyFont="1" applyBorder="1" applyAlignment="1">
      <alignment horizontal="right" shrinkToFit="1"/>
    </xf>
    <xf numFmtId="0" fontId="6" fillId="8" borderId="15" xfId="0" applyFont="1" applyFill="1" applyBorder="1" applyAlignment="1">
      <alignment horizontal="right" vertical="top" wrapText="1" indent="3"/>
    </xf>
    <xf numFmtId="3" fontId="7" fillId="0" borderId="7" xfId="0" applyNumberFormat="1" applyFont="1" applyBorder="1" applyAlignment="1">
      <alignment horizontal="right" shrinkToFit="1"/>
    </xf>
    <xf numFmtId="0" fontId="6" fillId="9" borderId="15" xfId="0" applyFont="1" applyFill="1" applyBorder="1" applyAlignment="1">
      <alignment horizontal="left" vertical="top" wrapText="1" indent="1"/>
    </xf>
    <xf numFmtId="3" fontId="7" fillId="9" borderId="12" xfId="0" applyNumberFormat="1" applyFont="1" applyFill="1" applyBorder="1" applyAlignment="1">
      <alignment horizontal="right" vertical="top" shrinkToFit="1"/>
    </xf>
    <xf numFmtId="3" fontId="7" fillId="9" borderId="9" xfId="0" applyNumberFormat="1" applyFont="1" applyFill="1" applyBorder="1" applyAlignment="1">
      <alignment horizontal="right" vertical="top" shrinkToFit="1"/>
    </xf>
    <xf numFmtId="0" fontId="6" fillId="9" borderId="15" xfId="0" applyFont="1" applyFill="1" applyBorder="1" applyAlignment="1">
      <alignment horizontal="left" vertical="top" wrapText="1" indent="2"/>
    </xf>
    <xf numFmtId="0" fontId="6" fillId="9" borderId="15" xfId="0" applyFont="1" applyFill="1" applyBorder="1" applyAlignment="1">
      <alignment horizontal="left" vertical="top" wrapText="1" indent="3"/>
    </xf>
    <xf numFmtId="0" fontId="6" fillId="9" borderId="15" xfId="0" applyFont="1" applyFill="1" applyBorder="1" applyAlignment="1">
      <alignment horizontal="left" vertical="top" wrapText="1" indent="4"/>
    </xf>
    <xf numFmtId="0" fontId="6" fillId="9" borderId="15" xfId="0" applyFont="1" applyFill="1" applyBorder="1" applyAlignment="1">
      <alignment horizontal="right" vertical="top" wrapText="1"/>
    </xf>
    <xf numFmtId="3" fontId="7" fillId="0" borderId="7" xfId="0" applyNumberFormat="1" applyFont="1" applyBorder="1" applyAlignment="1">
      <alignment horizontal="right" vertical="center" shrinkToFit="1"/>
    </xf>
    <xf numFmtId="3" fontId="7" fillId="6" borderId="9" xfId="0" applyNumberFormat="1" applyFont="1" applyFill="1" applyBorder="1" applyAlignment="1">
      <alignment horizontal="right" vertical="top" shrinkToFit="1"/>
    </xf>
    <xf numFmtId="3" fontId="7" fillId="6" borderId="12" xfId="0" applyNumberFormat="1" applyFont="1" applyFill="1" applyBorder="1" applyAlignment="1">
      <alignment horizontal="right" vertical="top" shrinkToFit="1"/>
    </xf>
    <xf numFmtId="0" fontId="6" fillId="6" borderId="15" xfId="0" applyFont="1" applyFill="1" applyBorder="1" applyAlignment="1">
      <alignment horizontal="right" vertical="top" wrapText="1" indent="3"/>
    </xf>
    <xf numFmtId="0" fontId="6" fillId="6" borderId="15" xfId="0" applyFont="1" applyFill="1" applyBorder="1" applyAlignment="1">
      <alignment horizontal="right" vertical="top" wrapText="1" indent="2"/>
    </xf>
    <xf numFmtId="3" fontId="7" fillId="9" borderId="9" xfId="0" applyNumberFormat="1" applyFont="1" applyFill="1" applyBorder="1" applyAlignment="1">
      <alignment horizontal="left" vertical="top" indent="1" shrinkToFit="1"/>
    </xf>
    <xf numFmtId="0" fontId="6" fillId="9" borderId="15" xfId="0" applyFont="1" applyFill="1" applyBorder="1" applyAlignment="1">
      <alignment horizontal="right" vertical="top" wrapText="1" indent="3"/>
    </xf>
    <xf numFmtId="0" fontId="6" fillId="9" borderId="15" xfId="0" applyFont="1" applyFill="1" applyBorder="1" applyAlignment="1">
      <alignment horizontal="right" vertical="top" wrapText="1" indent="2"/>
    </xf>
    <xf numFmtId="0" fontId="6" fillId="9" borderId="15" xfId="0" applyFont="1" applyFill="1" applyBorder="1" applyAlignment="1">
      <alignment horizontal="right" vertical="top" wrapText="1" indent="1"/>
    </xf>
    <xf numFmtId="0" fontId="6" fillId="5" borderId="15" xfId="0" applyFont="1" applyFill="1" applyBorder="1" applyAlignment="1">
      <alignment horizontal="right" vertical="top" wrapText="1" indent="1"/>
    </xf>
    <xf numFmtId="0" fontId="6" fillId="5" borderId="9" xfId="0" applyFont="1" applyFill="1" applyBorder="1" applyAlignment="1">
      <alignment horizontal="right" vertical="top" wrapText="1"/>
    </xf>
    <xf numFmtId="0" fontId="6" fillId="6" borderId="15" xfId="0" applyFont="1" applyFill="1" applyBorder="1" applyAlignment="1">
      <alignment horizontal="right" vertical="top" wrapText="1" indent="8"/>
    </xf>
    <xf numFmtId="0" fontId="6" fillId="9" borderId="15" xfId="0" applyFont="1" applyFill="1" applyBorder="1" applyAlignment="1">
      <alignment horizontal="right" vertical="top" wrapText="1" indent="8"/>
    </xf>
    <xf numFmtId="0" fontId="6" fillId="6" borderId="15" xfId="0" applyFont="1" applyFill="1" applyBorder="1" applyAlignment="1">
      <alignment horizontal="right" vertical="top" wrapText="1" indent="10"/>
    </xf>
    <xf numFmtId="0" fontId="6" fillId="9" borderId="15" xfId="0" applyFont="1" applyFill="1" applyBorder="1" applyAlignment="1">
      <alignment horizontal="right" vertical="top" wrapText="1" indent="10"/>
    </xf>
    <xf numFmtId="0" fontId="6" fillId="7" borderId="15" xfId="0" applyFont="1" applyFill="1" applyBorder="1" applyAlignment="1">
      <alignment horizontal="right" vertical="top" wrapText="1" indent="7"/>
    </xf>
    <xf numFmtId="0" fontId="6" fillId="6" borderId="15" xfId="0" applyFont="1" applyFill="1" applyBorder="1" applyAlignment="1">
      <alignment horizontal="right" vertical="top" wrapText="1" indent="7"/>
    </xf>
    <xf numFmtId="0" fontId="6" fillId="9" borderId="9" xfId="0" applyFont="1" applyFill="1" applyBorder="1" applyAlignment="1">
      <alignment horizontal="right" vertical="top" wrapText="1"/>
    </xf>
    <xf numFmtId="0" fontId="6" fillId="9" borderId="15" xfId="0" applyFont="1" applyFill="1" applyBorder="1" applyAlignment="1">
      <alignment horizontal="right" vertical="top" wrapText="1" indent="7"/>
    </xf>
    <xf numFmtId="0" fontId="6" fillId="5" borderId="9" xfId="0" applyFont="1" applyFill="1" applyBorder="1" applyAlignment="1">
      <alignment horizontal="left" vertical="top" wrapText="1" indent="3"/>
    </xf>
    <xf numFmtId="0" fontId="6" fillId="0" borderId="12" xfId="0" applyFont="1" applyBorder="1" applyAlignment="1">
      <alignment horizontal="right" vertical="top" wrapText="1"/>
    </xf>
    <xf numFmtId="0" fontId="6" fillId="5" borderId="15" xfId="0" applyFont="1" applyFill="1" applyBorder="1" applyAlignment="1">
      <alignment horizontal="left" vertical="top" wrapText="1" indent="3"/>
    </xf>
    <xf numFmtId="0" fontId="0" fillId="8" borderId="0" xfId="0" applyFill="1" applyAlignment="1">
      <alignment horizontal="left" vertical="top"/>
    </xf>
    <xf numFmtId="0" fontId="6" fillId="8" borderId="8" xfId="0" applyFont="1" applyFill="1" applyBorder="1" applyAlignment="1">
      <alignment horizontal="center" vertical="top" wrapText="1"/>
    </xf>
    <xf numFmtId="3" fontId="7" fillId="8" borderId="9" xfId="0" applyNumberFormat="1" applyFont="1" applyFill="1" applyBorder="1" applyAlignment="1">
      <alignment horizontal="right" vertical="top" shrinkToFit="1"/>
    </xf>
    <xf numFmtId="0" fontId="0" fillId="7" borderId="0" xfId="0" applyFill="1" applyAlignment="1">
      <alignment horizontal="left" vertical="top"/>
    </xf>
    <xf numFmtId="0" fontId="6" fillId="7" borderId="8" xfId="0" applyFont="1" applyFill="1" applyBorder="1" applyAlignment="1">
      <alignment horizontal="center" vertical="top" wrapText="1"/>
    </xf>
    <xf numFmtId="3" fontId="7" fillId="7" borderId="4" xfId="0" applyNumberFormat="1" applyFont="1" applyFill="1" applyBorder="1" applyAlignment="1">
      <alignment horizontal="right" vertical="top" shrinkToFit="1"/>
    </xf>
    <xf numFmtId="0" fontId="0" fillId="6" borderId="0" xfId="0" applyFill="1" applyAlignment="1">
      <alignment horizontal="left" vertical="top"/>
    </xf>
    <xf numFmtId="0" fontId="6" fillId="6" borderId="8" xfId="0" applyFont="1" applyFill="1" applyBorder="1" applyAlignment="1">
      <alignment horizontal="center" vertical="top" wrapText="1"/>
    </xf>
    <xf numFmtId="3" fontId="7" fillId="6" borderId="4" xfId="0" applyNumberFormat="1" applyFont="1" applyFill="1" applyBorder="1" applyAlignment="1">
      <alignment horizontal="right" vertical="top" shrinkToFit="1"/>
    </xf>
    <xf numFmtId="0" fontId="0" fillId="9" borderId="0" xfId="0" applyFill="1" applyAlignment="1">
      <alignment horizontal="left" vertical="top"/>
    </xf>
    <xf numFmtId="0" fontId="6" fillId="9" borderId="8" xfId="0" applyFont="1" applyFill="1" applyBorder="1" applyAlignment="1">
      <alignment horizontal="left" vertical="top" wrapText="1" indent="2"/>
    </xf>
    <xf numFmtId="3" fontId="7" fillId="9" borderId="4" xfId="0" applyNumberFormat="1" applyFont="1" applyFill="1" applyBorder="1" applyAlignment="1">
      <alignment horizontal="right" vertical="top" shrinkToFit="1"/>
    </xf>
    <xf numFmtId="0" fontId="0" fillId="5" borderId="0" xfId="0" applyFill="1" applyAlignment="1">
      <alignment horizontal="left" vertical="top"/>
    </xf>
    <xf numFmtId="3" fontId="7" fillId="5" borderId="4" xfId="0" applyNumberFormat="1" applyFont="1" applyFill="1" applyBorder="1" applyAlignment="1">
      <alignment horizontal="right" vertical="top" shrinkToFit="1"/>
    </xf>
    <xf numFmtId="3" fontId="7" fillId="5" borderId="8" xfId="0" applyNumberFormat="1" applyFont="1" applyFill="1" applyBorder="1" applyAlignment="1">
      <alignment horizontal="right" vertical="top" shrinkToFit="1"/>
    </xf>
    <xf numFmtId="3" fontId="7" fillId="6" borderId="8" xfId="0" applyNumberFormat="1" applyFont="1" applyFill="1" applyBorder="1" applyAlignment="1">
      <alignment horizontal="right" vertical="top" shrinkToFit="1"/>
    </xf>
    <xf numFmtId="3" fontId="7" fillId="9" borderId="8" xfId="0" applyNumberFormat="1" applyFont="1" applyFill="1" applyBorder="1" applyAlignment="1">
      <alignment horizontal="right" vertical="top" shrinkToFit="1"/>
    </xf>
    <xf numFmtId="3" fontId="7" fillId="7" borderId="8" xfId="0" applyNumberFormat="1" applyFont="1" applyFill="1" applyBorder="1" applyAlignment="1">
      <alignment horizontal="right" vertical="top" shrinkToFit="1"/>
    </xf>
    <xf numFmtId="3" fontId="7" fillId="8" borderId="8" xfId="0" applyNumberFormat="1" applyFont="1" applyFill="1" applyBorder="1" applyAlignment="1">
      <alignment horizontal="right" vertical="top" shrinkToFit="1"/>
    </xf>
    <xf numFmtId="0" fontId="6" fillId="8" borderId="15" xfId="0" applyFont="1" applyFill="1" applyBorder="1" applyAlignment="1">
      <alignment horizontal="right" vertical="top" wrapText="1"/>
    </xf>
    <xf numFmtId="0" fontId="6" fillId="8" borderId="15" xfId="0" applyFont="1" applyFill="1" applyBorder="1" applyAlignment="1">
      <alignment horizontal="right" vertical="top" wrapText="1" indent="1"/>
    </xf>
    <xf numFmtId="0" fontId="6" fillId="7" borderId="15" xfId="0" applyFont="1" applyFill="1" applyBorder="1" applyAlignment="1">
      <alignment horizontal="right" vertical="top" wrapText="1" indent="1"/>
    </xf>
    <xf numFmtId="0" fontId="6" fillId="6" borderId="15" xfId="0" applyFont="1" applyFill="1" applyBorder="1" applyAlignment="1">
      <alignment horizontal="right" vertical="top" wrapText="1" indent="1"/>
    </xf>
    <xf numFmtId="0" fontId="0" fillId="7" borderId="9" xfId="0" applyFill="1" applyBorder="1" applyAlignment="1">
      <alignment horizontal="left" wrapText="1"/>
    </xf>
    <xf numFmtId="0" fontId="0" fillId="6" borderId="9" xfId="0" applyFill="1" applyBorder="1" applyAlignment="1">
      <alignment horizontal="left" wrapText="1"/>
    </xf>
    <xf numFmtId="0" fontId="0" fillId="9" borderId="9" xfId="0" applyFill="1" applyBorder="1" applyAlignment="1">
      <alignment horizontal="left" wrapText="1"/>
    </xf>
    <xf numFmtId="0" fontId="0" fillId="5" borderId="9" xfId="0" applyFill="1" applyBorder="1" applyAlignment="1">
      <alignment horizontal="left" wrapText="1"/>
    </xf>
    <xf numFmtId="0" fontId="6" fillId="5" borderId="4" xfId="0" applyFont="1" applyFill="1" applyBorder="1" applyAlignment="1">
      <alignment horizontal="right" vertical="top" wrapText="1"/>
    </xf>
    <xf numFmtId="3" fontId="7" fillId="8" borderId="7" xfId="0" applyNumberFormat="1" applyFont="1" applyFill="1" applyBorder="1" applyAlignment="1">
      <alignment horizontal="right" vertical="center" shrinkToFit="1"/>
    </xf>
    <xf numFmtId="3" fontId="7" fillId="8" borderId="4" xfId="0" applyNumberFormat="1" applyFont="1" applyFill="1" applyBorder="1" applyAlignment="1">
      <alignment horizontal="right" vertical="center" shrinkToFit="1"/>
    </xf>
    <xf numFmtId="0" fontId="6" fillId="7" borderId="15" xfId="0" applyFont="1" applyFill="1" applyBorder="1" applyAlignment="1">
      <alignment horizontal="right" vertical="top" wrapText="1" indent="3"/>
    </xf>
    <xf numFmtId="0" fontId="6" fillId="7" borderId="15" xfId="0" applyFont="1" applyFill="1" applyBorder="1" applyAlignment="1">
      <alignment horizontal="right" vertical="top" wrapText="1" indent="2"/>
    </xf>
    <xf numFmtId="0" fontId="6" fillId="5" borderId="13" xfId="0" applyFont="1" applyFill="1" applyBorder="1" applyAlignment="1">
      <alignment horizontal="left" vertical="top" wrapText="1" indent="2"/>
    </xf>
    <xf numFmtId="3" fontId="7" fillId="8" borderId="12" xfId="0" applyNumberFormat="1" applyFont="1" applyFill="1" applyBorder="1" applyAlignment="1">
      <alignment horizontal="right" vertical="center" shrinkToFit="1"/>
    </xf>
    <xf numFmtId="3" fontId="7" fillId="8" borderId="9" xfId="0" applyNumberFormat="1" applyFont="1" applyFill="1" applyBorder="1" applyAlignment="1">
      <alignment horizontal="right" vertical="center" shrinkToFit="1"/>
    </xf>
    <xf numFmtId="0" fontId="6" fillId="5" borderId="14" xfId="0" applyFont="1" applyFill="1" applyBorder="1" applyAlignment="1">
      <alignment horizontal="left" vertical="top" wrapText="1" indent="3"/>
    </xf>
    <xf numFmtId="3" fontId="7" fillId="8" borderId="12" xfId="0" applyNumberFormat="1" applyFont="1" applyFill="1" applyBorder="1" applyAlignment="1">
      <alignment horizontal="right" vertical="top" shrinkToFit="1"/>
    </xf>
    <xf numFmtId="0" fontId="6" fillId="5" borderId="15" xfId="0" applyFont="1" applyFill="1" applyBorder="1" applyAlignment="1">
      <alignment horizontal="right" vertical="top" wrapText="1"/>
    </xf>
    <xf numFmtId="0" fontId="6" fillId="5" borderId="15" xfId="0" applyFont="1" applyFill="1" applyBorder="1" applyAlignment="1">
      <alignment horizontal="left" vertical="top" wrapText="1" indent="4"/>
    </xf>
    <xf numFmtId="0" fontId="0" fillId="0" borderId="0" xfId="0" applyAlignment="1">
      <alignment horizontal="center" vertical="top"/>
    </xf>
    <xf numFmtId="10" fontId="0" fillId="0" borderId="0" xfId="0" applyNumberFormat="1" applyAlignment="1">
      <alignment horizontal="left" vertical="top"/>
    </xf>
    <xf numFmtId="0" fontId="29" fillId="0" borderId="0" xfId="0" applyFont="1" applyAlignment="1">
      <alignment horizontal="center" vertical="top"/>
    </xf>
    <xf numFmtId="49" fontId="30" fillId="0" borderId="0" xfId="0" applyNumberFormat="1" applyFont="1" applyAlignment="1">
      <alignment horizontal="left"/>
    </xf>
    <xf numFmtId="0" fontId="0" fillId="0" borderId="0" xfId="0"/>
    <xf numFmtId="0" fontId="33" fillId="0" borderId="15" xfId="0" applyFont="1" applyBorder="1" applyAlignment="1">
      <alignment horizontal="center" wrapText="1"/>
    </xf>
    <xf numFmtId="0" fontId="32" fillId="0" borderId="15" xfId="0" applyFont="1" applyBorder="1" applyAlignment="1">
      <alignment horizontal="left" wrapText="1"/>
    </xf>
    <xf numFmtId="3" fontId="32" fillId="0" borderId="15" xfId="0" applyNumberFormat="1" applyFont="1" applyBorder="1" applyAlignment="1">
      <alignment horizontal="right" wrapText="1"/>
    </xf>
    <xf numFmtId="0" fontId="32" fillId="0" borderId="15" xfId="0" applyFont="1" applyBorder="1" applyAlignment="1">
      <alignment horizontal="left" wrapText="1" indent="1"/>
    </xf>
    <xf numFmtId="0" fontId="32" fillId="0" borderId="15" xfId="0" applyFont="1" applyBorder="1" applyAlignment="1">
      <alignment horizontal="left" wrapText="1" indent="2"/>
    </xf>
    <xf numFmtId="0" fontId="32" fillId="0" borderId="15" xfId="0" applyFont="1" applyBorder="1" applyAlignment="1">
      <alignment horizontal="left" wrapText="1" indent="3"/>
    </xf>
    <xf numFmtId="3" fontId="34" fillId="0" borderId="15" xfId="0" applyNumberFormat="1" applyFont="1" applyBorder="1" applyAlignment="1">
      <alignment horizontal="right" wrapText="1"/>
    </xf>
    <xf numFmtId="165" fontId="32" fillId="0" borderId="15" xfId="0" applyNumberFormat="1" applyFont="1" applyBorder="1" applyAlignment="1">
      <alignment horizontal="left" wrapText="1" indent="2"/>
    </xf>
    <xf numFmtId="0" fontId="33" fillId="8" borderId="15" xfId="0" applyFont="1" applyFill="1" applyBorder="1" applyAlignment="1">
      <alignment horizontal="center" wrapText="1"/>
    </xf>
    <xf numFmtId="3" fontId="32" fillId="8" borderId="15" xfId="0" applyNumberFormat="1" applyFont="1" applyFill="1" applyBorder="1" applyAlignment="1">
      <alignment horizontal="right" wrapText="1"/>
    </xf>
    <xf numFmtId="0" fontId="33" fillId="7" borderId="15" xfId="0" applyFont="1" applyFill="1" applyBorder="1" applyAlignment="1">
      <alignment horizontal="center" wrapText="1"/>
    </xf>
    <xf numFmtId="3" fontId="32" fillId="7" borderId="15" xfId="0" applyNumberFormat="1" applyFont="1" applyFill="1" applyBorder="1" applyAlignment="1">
      <alignment horizontal="right" wrapText="1"/>
    </xf>
    <xf numFmtId="0" fontId="33" fillId="6" borderId="15" xfId="0" applyFont="1" applyFill="1" applyBorder="1" applyAlignment="1">
      <alignment horizontal="center" wrapText="1"/>
    </xf>
    <xf numFmtId="3" fontId="32" fillId="6" borderId="15" xfId="0" applyNumberFormat="1" applyFont="1" applyFill="1" applyBorder="1" applyAlignment="1">
      <alignment horizontal="right" wrapText="1"/>
    </xf>
    <xf numFmtId="0" fontId="33" fillId="9" borderId="15" xfId="0" applyFont="1" applyFill="1" applyBorder="1" applyAlignment="1">
      <alignment horizontal="center" wrapText="1"/>
    </xf>
    <xf numFmtId="3" fontId="32" fillId="9" borderId="15" xfId="0" applyNumberFormat="1" applyFont="1" applyFill="1" applyBorder="1" applyAlignment="1">
      <alignment horizontal="right" wrapText="1"/>
    </xf>
    <xf numFmtId="0" fontId="33" fillId="5" borderId="15" xfId="0" applyFont="1" applyFill="1" applyBorder="1" applyAlignment="1">
      <alignment horizontal="center" wrapText="1"/>
    </xf>
    <xf numFmtId="3" fontId="32" fillId="5" borderId="15" xfId="0" applyNumberFormat="1" applyFont="1" applyFill="1" applyBorder="1" applyAlignment="1">
      <alignment horizontal="right" wrapText="1"/>
    </xf>
    <xf numFmtId="49" fontId="36" fillId="0" borderId="0" xfId="0" applyNumberFormat="1" applyFont="1" applyAlignment="1">
      <alignment horizontal="left"/>
    </xf>
    <xf numFmtId="0" fontId="6" fillId="0" borderId="8" xfId="0" applyFont="1" applyBorder="1" applyAlignment="1">
      <alignment horizontal="left" vertical="top" wrapText="1" indent="1"/>
    </xf>
    <xf numFmtId="10" fontId="7" fillId="8" borderId="0" xfId="0" applyNumberFormat="1" applyFont="1" applyFill="1" applyAlignment="1">
      <alignment horizontal="right" vertical="top" shrinkToFit="1"/>
    </xf>
    <xf numFmtId="10" fontId="7" fillId="0" borderId="0" xfId="0" applyNumberFormat="1" applyFont="1" applyAlignment="1">
      <alignment horizontal="right" vertical="top" shrinkToFit="1"/>
    </xf>
    <xf numFmtId="10" fontId="7" fillId="9" borderId="0" xfId="0" applyNumberFormat="1" applyFont="1" applyFill="1" applyAlignment="1">
      <alignment horizontal="right" vertical="top" shrinkToFit="1"/>
    </xf>
    <xf numFmtId="10" fontId="7" fillId="6" borderId="0" xfId="0" applyNumberFormat="1" applyFont="1" applyFill="1" applyAlignment="1">
      <alignment horizontal="right" vertical="top" shrinkToFit="1"/>
    </xf>
    <xf numFmtId="10" fontId="7" fillId="7" borderId="0" xfId="0" applyNumberFormat="1" applyFont="1" applyFill="1" applyAlignment="1">
      <alignment horizontal="right" vertical="top" shrinkToFit="1"/>
    </xf>
    <xf numFmtId="0" fontId="6" fillId="0" borderId="8" xfId="0" applyFont="1" applyBorder="1" applyAlignment="1">
      <alignment horizontal="left" vertical="center" wrapText="1" indent="1"/>
    </xf>
    <xf numFmtId="0" fontId="6" fillId="0" borderId="8" xfId="0" applyFont="1" applyBorder="1" applyAlignment="1">
      <alignment horizontal="right" vertical="center" wrapText="1"/>
    </xf>
    <xf numFmtId="0" fontId="6" fillId="0" borderId="1" xfId="0" applyFont="1" applyBorder="1" applyAlignment="1">
      <alignment horizontal="left" vertical="top" wrapText="1" indent="1"/>
    </xf>
    <xf numFmtId="0" fontId="6" fillId="0" borderId="1" xfId="0" applyFont="1" applyBorder="1" applyAlignment="1">
      <alignment horizontal="right" vertical="center" wrapText="1"/>
    </xf>
    <xf numFmtId="0" fontId="6" fillId="0" borderId="0" xfId="0" applyFont="1" applyAlignment="1">
      <alignment vertical="top" wrapText="1"/>
    </xf>
    <xf numFmtId="0" fontId="6" fillId="3" borderId="2" xfId="0" applyFont="1" applyFill="1" applyBorder="1" applyAlignment="1" applyProtection="1">
      <alignment horizontal="left" vertical="top" wrapText="1"/>
      <protection locked="0"/>
    </xf>
    <xf numFmtId="1" fontId="7" fillId="3" borderId="1" xfId="0" applyNumberFormat="1" applyFont="1" applyFill="1" applyBorder="1" applyAlignment="1" applyProtection="1">
      <alignment horizontal="left" vertical="top" indent="2" shrinkToFit="1"/>
      <protection locked="0"/>
    </xf>
    <xf numFmtId="0" fontId="0" fillId="0" borderId="0" xfId="0" applyAlignment="1" applyProtection="1">
      <alignment horizontal="left" vertical="top"/>
      <protection locked="0"/>
    </xf>
    <xf numFmtId="0" fontId="6" fillId="0" borderId="0" xfId="0" applyFont="1" applyAlignment="1">
      <alignment horizontal="center" vertical="top" wrapText="1"/>
    </xf>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indent="1"/>
    </xf>
    <xf numFmtId="0" fontId="6" fillId="0" borderId="0" xfId="0" applyFont="1" applyAlignment="1">
      <alignment horizontal="left" vertical="top" wrapText="1" indent="1"/>
    </xf>
    <xf numFmtId="0" fontId="39" fillId="0" borderId="0" xfId="0" applyFont="1"/>
    <xf numFmtId="3" fontId="39" fillId="0" borderId="0" xfId="0" applyNumberFormat="1" applyFont="1" applyAlignment="1">
      <alignment horizontal="center" wrapText="1"/>
    </xf>
    <xf numFmtId="3" fontId="39" fillId="0" borderId="0" xfId="0" applyNumberFormat="1" applyFont="1"/>
    <xf numFmtId="0" fontId="39" fillId="0" borderId="0" xfId="0" applyFont="1" applyAlignment="1">
      <alignment horizontal="left" wrapText="1"/>
    </xf>
    <xf numFmtId="0" fontId="39" fillId="0" borderId="0" xfId="0" applyFont="1" applyAlignment="1">
      <alignment horizontal="left" wrapText="1" indent="1"/>
    </xf>
    <xf numFmtId="0" fontId="39" fillId="0" borderId="0" xfId="0" applyFont="1" applyAlignment="1">
      <alignment horizontal="left" wrapText="1" indent="2"/>
    </xf>
    <xf numFmtId="0" fontId="40" fillId="0" borderId="0" xfId="1"/>
    <xf numFmtId="0" fontId="40" fillId="0" borderId="0" xfId="1" applyAlignment="1">
      <alignment vertical="top"/>
    </xf>
    <xf numFmtId="3" fontId="40" fillId="0" borderId="0" xfId="1" applyNumberFormat="1" applyAlignment="1">
      <alignment horizontal="center" wrapText="1"/>
    </xf>
    <xf numFmtId="0" fontId="40" fillId="0" borderId="0" xfId="1" applyAlignment="1">
      <alignment horizontal="left" wrapText="1"/>
    </xf>
    <xf numFmtId="0" fontId="40" fillId="0" borderId="0" xfId="1" applyAlignment="1">
      <alignment horizontal="left" wrapText="1" indent="1"/>
    </xf>
    <xf numFmtId="0" fontId="40" fillId="0" borderId="0" xfId="1" applyAlignment="1">
      <alignment horizontal="left" wrapText="1" indent="2"/>
    </xf>
    <xf numFmtId="0" fontId="40" fillId="0" borderId="0" xfId="1" applyAlignment="1">
      <alignment horizontal="left" wrapText="1" indent="3"/>
    </xf>
    <xf numFmtId="166" fontId="39" fillId="0" borderId="0" xfId="0" applyNumberFormat="1" applyFont="1" applyAlignment="1">
      <alignment horizontal="right"/>
    </xf>
    <xf numFmtId="166" fontId="39" fillId="0" borderId="0" xfId="0" applyNumberFormat="1" applyFont="1"/>
    <xf numFmtId="166" fontId="40" fillId="0" borderId="0" xfId="1" applyNumberFormat="1" applyAlignment="1">
      <alignment horizontal="right"/>
    </xf>
    <xf numFmtId="0" fontId="39" fillId="0" borderId="0" xfId="0" applyFont="1" applyAlignment="1">
      <alignment wrapText="1"/>
    </xf>
    <xf numFmtId="166" fontId="0" fillId="0" borderId="0" xfId="0" applyNumberFormat="1" applyAlignment="1">
      <alignment horizontal="left" vertical="top"/>
    </xf>
    <xf numFmtId="3" fontId="7" fillId="8" borderId="5" xfId="0" applyNumberFormat="1" applyFont="1" applyFill="1" applyBorder="1" applyAlignment="1">
      <alignment horizontal="right" vertical="top" shrinkToFit="1"/>
    </xf>
    <xf numFmtId="3" fontId="7" fillId="0" borderId="11" xfId="0" applyNumberFormat="1" applyFont="1" applyBorder="1" applyAlignment="1">
      <alignment horizontal="right" vertical="top" shrinkToFit="1"/>
    </xf>
    <xf numFmtId="3" fontId="7" fillId="0" borderId="11" xfId="0" applyNumberFormat="1" applyFont="1" applyBorder="1" applyAlignment="1">
      <alignment horizontal="right" vertical="center" shrinkToFit="1"/>
    </xf>
    <xf numFmtId="3" fontId="7" fillId="7" borderId="11" xfId="0" applyNumberFormat="1" applyFont="1" applyFill="1" applyBorder="1" applyAlignment="1">
      <alignment horizontal="right" vertical="top" shrinkToFit="1"/>
    </xf>
    <xf numFmtId="3" fontId="7" fillId="0" borderId="5" xfId="0" applyNumberFormat="1" applyFont="1" applyBorder="1" applyAlignment="1">
      <alignment horizontal="right" vertical="top" shrinkToFit="1"/>
    </xf>
    <xf numFmtId="0" fontId="6" fillId="0" borderId="11" xfId="0" applyFont="1" applyBorder="1" applyAlignment="1">
      <alignment horizontal="right" vertical="top" wrapText="1"/>
    </xf>
    <xf numFmtId="3" fontId="7" fillId="9" borderId="11" xfId="0" applyNumberFormat="1" applyFont="1" applyFill="1" applyBorder="1" applyAlignment="1">
      <alignment horizontal="right" vertical="top" shrinkToFit="1"/>
    </xf>
    <xf numFmtId="0" fontId="6" fillId="0" borderId="11" xfId="0" applyFont="1" applyBorder="1" applyAlignment="1">
      <alignment horizontal="right" vertical="center" wrapText="1"/>
    </xf>
    <xf numFmtId="10" fontId="0" fillId="0" borderId="15" xfId="0" applyNumberFormat="1" applyBorder="1" applyAlignment="1">
      <alignment horizontal="left" vertical="top"/>
    </xf>
    <xf numFmtId="3" fontId="7" fillId="6" borderId="11" xfId="0" applyNumberFormat="1" applyFont="1" applyFill="1" applyBorder="1" applyAlignment="1">
      <alignment horizontal="right" vertical="top" shrinkToFit="1"/>
    </xf>
    <xf numFmtId="3" fontId="7" fillId="5" borderId="11" xfId="0" applyNumberFormat="1" applyFont="1" applyFill="1" applyBorder="1" applyAlignment="1">
      <alignment horizontal="right" vertical="top" shrinkToFit="1"/>
    </xf>
    <xf numFmtId="3" fontId="7" fillId="0" borderId="20" xfId="0" applyNumberFormat="1" applyFont="1" applyBorder="1" applyAlignment="1">
      <alignment horizontal="right" vertical="top" shrinkToFit="1"/>
    </xf>
    <xf numFmtId="3" fontId="0" fillId="8" borderId="0" xfId="0" applyNumberFormat="1" applyFill="1" applyAlignment="1">
      <alignment horizontal="left" vertical="top"/>
    </xf>
    <xf numFmtId="10" fontId="0" fillId="8" borderId="0" xfId="0" applyNumberFormat="1" applyFill="1" applyAlignment="1">
      <alignment horizontal="left" vertical="top"/>
    </xf>
    <xf numFmtId="3" fontId="0" fillId="7" borderId="0" xfId="0" applyNumberFormat="1" applyFill="1" applyAlignment="1">
      <alignment horizontal="left" vertical="top"/>
    </xf>
    <xf numFmtId="10" fontId="0" fillId="7" borderId="0" xfId="0" applyNumberFormat="1" applyFill="1" applyAlignment="1">
      <alignment horizontal="left" vertical="top"/>
    </xf>
    <xf numFmtId="3" fontId="0" fillId="6" borderId="0" xfId="0" applyNumberFormat="1" applyFill="1" applyAlignment="1">
      <alignment horizontal="left" vertical="top"/>
    </xf>
    <xf numFmtId="10" fontId="0" fillId="6" borderId="0" xfId="0" applyNumberFormat="1" applyFill="1" applyAlignment="1">
      <alignment horizontal="left" vertical="top"/>
    </xf>
    <xf numFmtId="3" fontId="0" fillId="9" borderId="0" xfId="0" applyNumberFormat="1" applyFill="1" applyAlignment="1">
      <alignment horizontal="left" vertical="top"/>
    </xf>
    <xf numFmtId="10" fontId="0" fillId="9" borderId="0" xfId="0" applyNumberFormat="1" applyFill="1" applyAlignment="1">
      <alignment horizontal="left" vertical="top"/>
    </xf>
    <xf numFmtId="3" fontId="40" fillId="0" borderId="0" xfId="1" applyNumberFormat="1"/>
    <xf numFmtId="0" fontId="29" fillId="0" borderId="0" xfId="0" applyFont="1" applyAlignment="1">
      <alignment horizontal="left" vertical="top"/>
    </xf>
    <xf numFmtId="10" fontId="29" fillId="0" borderId="0" xfId="0" applyNumberFormat="1" applyFont="1" applyAlignment="1">
      <alignment horizontal="left" vertical="top"/>
    </xf>
    <xf numFmtId="0" fontId="29" fillId="0" borderId="0" xfId="0" applyFont="1" applyAlignment="1">
      <alignment horizontal="left" vertical="top" wrapText="1"/>
    </xf>
    <xf numFmtId="0" fontId="6" fillId="9" borderId="0" xfId="0" applyFont="1" applyFill="1" applyAlignment="1">
      <alignment horizontal="center" vertical="top" wrapText="1"/>
    </xf>
    <xf numFmtId="0" fontId="6" fillId="3" borderId="0" xfId="0" applyFont="1" applyFill="1" applyAlignment="1">
      <alignment horizontal="left" vertical="top" wrapText="1" indent="1"/>
    </xf>
    <xf numFmtId="0" fontId="41" fillId="0" borderId="0" xfId="0" applyFont="1" applyAlignment="1">
      <alignment horizontal="left" vertical="top"/>
    </xf>
    <xf numFmtId="3" fontId="29" fillId="6" borderId="0" xfId="0" applyNumberFormat="1" applyFont="1" applyFill="1" applyAlignment="1">
      <alignment horizontal="left" vertical="top"/>
    </xf>
    <xf numFmtId="3" fontId="29" fillId="9" borderId="0" xfId="0" applyNumberFormat="1" applyFont="1" applyFill="1" applyAlignment="1">
      <alignment horizontal="left" vertical="top"/>
    </xf>
    <xf numFmtId="166" fontId="29" fillId="0" borderId="0" xfId="0" applyNumberFormat="1" applyFont="1" applyAlignment="1">
      <alignment horizontal="left" vertical="top"/>
    </xf>
    <xf numFmtId="3" fontId="29" fillId="7" borderId="0" xfId="0" applyNumberFormat="1" applyFont="1" applyFill="1" applyAlignment="1">
      <alignment horizontal="left" vertical="top"/>
    </xf>
    <xf numFmtId="0" fontId="39" fillId="10" borderId="0" xfId="0" applyFont="1" applyFill="1" applyAlignment="1">
      <alignment horizontal="left" wrapText="1" indent="2"/>
    </xf>
    <xf numFmtId="8" fontId="0" fillId="0" borderId="0" xfId="0" applyNumberFormat="1" applyAlignment="1">
      <alignment horizontal="left" vertical="top"/>
    </xf>
    <xf numFmtId="3" fontId="7" fillId="6" borderId="7" xfId="0" applyNumberFormat="1" applyFont="1" applyFill="1" applyBorder="1" applyAlignment="1">
      <alignment horizontal="right" vertical="top" shrinkToFit="1"/>
    </xf>
    <xf numFmtId="3" fontId="7" fillId="6" borderId="5" xfId="0" applyNumberFormat="1" applyFont="1" applyFill="1" applyBorder="1" applyAlignment="1">
      <alignment horizontal="right" vertical="top" shrinkToFit="1"/>
    </xf>
    <xf numFmtId="167" fontId="0" fillId="0" borderId="0" xfId="0" applyNumberFormat="1" applyAlignment="1">
      <alignment horizontal="left" vertical="top"/>
    </xf>
    <xf numFmtId="0" fontId="0" fillId="0" borderId="0" xfId="0" applyAlignment="1">
      <alignment horizontal="right" vertical="top"/>
    </xf>
    <xf numFmtId="168" fontId="0" fillId="0" borderId="0" xfId="0" applyNumberFormat="1" applyAlignment="1">
      <alignment horizontal="right" vertical="top"/>
    </xf>
    <xf numFmtId="168" fontId="0" fillId="0" borderId="0" xfId="0" applyNumberFormat="1" applyAlignment="1">
      <alignment horizontal="left" vertical="top"/>
    </xf>
    <xf numFmtId="0" fontId="0" fillId="13" borderId="0" xfId="0" applyFill="1" applyAlignment="1">
      <alignment horizontal="left" vertical="top"/>
    </xf>
    <xf numFmtId="0" fontId="0" fillId="10" borderId="0" xfId="0" applyFill="1" applyAlignment="1">
      <alignment horizontal="left" vertical="top"/>
    </xf>
    <xf numFmtId="0" fontId="29" fillId="13" borderId="0" xfId="0" applyFont="1" applyFill="1" applyAlignment="1">
      <alignment horizontal="left" vertical="top"/>
    </xf>
    <xf numFmtId="9" fontId="41" fillId="0" borderId="0" xfId="0" applyNumberFormat="1" applyFont="1" applyAlignment="1">
      <alignment horizontal="center" vertical="top"/>
    </xf>
    <xf numFmtId="0" fontId="41" fillId="11" borderId="0" xfId="0" applyFont="1" applyFill="1" applyAlignment="1">
      <alignment horizontal="center" vertical="top"/>
    </xf>
    <xf numFmtId="0" fontId="0" fillId="2" borderId="0" xfId="0" applyFill="1" applyAlignment="1">
      <alignment horizontal="left" vertical="top" wrapText="1" indent="5"/>
    </xf>
    <xf numFmtId="0" fontId="3" fillId="0" borderId="0" xfId="0" applyFont="1" applyAlignment="1">
      <alignment horizontal="left" vertical="top" wrapText="1" indent="6"/>
    </xf>
    <xf numFmtId="0" fontId="1" fillId="0" borderId="0" xfId="0" applyFont="1" applyAlignment="1">
      <alignment horizontal="left" vertical="top" wrapText="1" indent="5"/>
    </xf>
    <xf numFmtId="0" fontId="4" fillId="0" borderId="0" xfId="0" applyFont="1" applyAlignment="1">
      <alignment horizontal="left" vertical="top" wrapText="1" indent="5"/>
    </xf>
    <xf numFmtId="0" fontId="5" fillId="0" borderId="0" xfId="0" applyFont="1" applyAlignment="1">
      <alignment horizontal="left" vertical="top" wrapText="1" indent="5"/>
    </xf>
    <xf numFmtId="0" fontId="6" fillId="0" borderId="0" xfId="0" applyFont="1" applyAlignment="1">
      <alignment horizontal="left" vertical="top" wrapText="1" indent="5"/>
    </xf>
    <xf numFmtId="0" fontId="0" fillId="0" borderId="0" xfId="0" applyAlignment="1">
      <alignment horizontal="left" vertical="top" wrapText="1" indent="5"/>
    </xf>
    <xf numFmtId="0" fontId="41" fillId="8" borderId="0" xfId="0" applyFont="1" applyFill="1" applyAlignment="1">
      <alignment horizontal="center" vertical="top"/>
    </xf>
    <xf numFmtId="0" fontId="41" fillId="7" borderId="0" xfId="0" applyFont="1" applyFill="1" applyAlignment="1">
      <alignment horizontal="center" vertical="top"/>
    </xf>
    <xf numFmtId="0" fontId="41" fillId="6" borderId="0" xfId="0" applyFont="1" applyFill="1" applyAlignment="1">
      <alignment horizontal="center" vertical="top"/>
    </xf>
    <xf numFmtId="0" fontId="41" fillId="9" borderId="0" xfId="0" applyFont="1" applyFill="1" applyAlignment="1">
      <alignment horizontal="center" vertical="top"/>
    </xf>
    <xf numFmtId="0" fontId="29" fillId="0" borderId="0" xfId="0" applyFon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29" fillId="0" borderId="0" xfId="0" applyFont="1" applyAlignment="1">
      <alignment horizontal="center" vertical="top" wrapText="1"/>
    </xf>
    <xf numFmtId="0" fontId="29" fillId="12" borderId="0" xfId="0" applyFont="1" applyFill="1" applyAlignment="1">
      <alignment horizontal="center" vertical="top"/>
    </xf>
    <xf numFmtId="0" fontId="0" fillId="11" borderId="0" xfId="0" applyFill="1" applyAlignment="1">
      <alignment horizontal="center" vertical="top"/>
    </xf>
    <xf numFmtId="0" fontId="41" fillId="11" borderId="0" xfId="0" applyFont="1" applyFill="1" applyAlignment="1">
      <alignment horizontal="center" vertical="top"/>
    </xf>
    <xf numFmtId="0" fontId="6" fillId="3" borderId="2" xfId="0" applyFont="1" applyFill="1" applyBorder="1" applyAlignment="1">
      <alignment horizontal="left" wrapText="1"/>
    </xf>
    <xf numFmtId="0" fontId="6" fillId="3" borderId="10" xfId="0" applyFont="1" applyFill="1" applyBorder="1" applyAlignment="1">
      <alignment horizontal="left" wrapText="1"/>
    </xf>
    <xf numFmtId="0" fontId="6" fillId="3" borderId="2" xfId="0" applyFont="1" applyFill="1" applyBorder="1" applyAlignment="1">
      <alignment horizontal="left" wrapText="1" indent="2"/>
    </xf>
    <xf numFmtId="0" fontId="6" fillId="3" borderId="3" xfId="0" applyFont="1" applyFill="1" applyBorder="1" applyAlignment="1">
      <alignment horizontal="left" wrapText="1" indent="2"/>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9" xfId="0" applyBorder="1" applyAlignment="1">
      <alignment horizontal="center" vertical="top"/>
    </xf>
    <xf numFmtId="0" fontId="0" fillId="0" borderId="0" xfId="0" applyAlignment="1">
      <alignment horizontal="center" vertical="top" wrapText="1"/>
    </xf>
    <xf numFmtId="0" fontId="6" fillId="3" borderId="2"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3" xfId="0" applyFont="1" applyFill="1" applyBorder="1" applyAlignment="1">
      <alignment horizontal="left" vertical="center" wrapText="1"/>
    </xf>
    <xf numFmtId="0" fontId="29" fillId="0" borderId="19" xfId="0" applyFont="1" applyBorder="1" applyAlignment="1">
      <alignment horizontal="center" vertical="top"/>
    </xf>
    <xf numFmtId="0" fontId="6" fillId="0" borderId="0" xfId="0" applyFont="1" applyAlignment="1">
      <alignment horizontal="center" vertical="top" wrapText="1"/>
    </xf>
    <xf numFmtId="0" fontId="6" fillId="0" borderId="0" xfId="0" applyFont="1" applyAlignment="1">
      <alignment horizontal="left" vertical="top"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2" xfId="0" applyFont="1" applyFill="1" applyBorder="1" applyAlignment="1">
      <alignment horizontal="left" vertical="center" wrapText="1" indent="2"/>
    </xf>
    <xf numFmtId="0" fontId="6" fillId="3" borderId="3" xfId="0" applyFont="1" applyFill="1" applyBorder="1" applyAlignment="1">
      <alignment horizontal="left" vertical="center" wrapText="1" indent="2"/>
    </xf>
    <xf numFmtId="0" fontId="6" fillId="3" borderId="2"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14"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0" xfId="0" applyFont="1" applyFill="1" applyAlignment="1">
      <alignment horizontal="center" vertical="center" wrapText="1"/>
    </xf>
    <xf numFmtId="0" fontId="6" fillId="3" borderId="19" xfId="0" applyFont="1" applyFill="1" applyBorder="1" applyAlignment="1">
      <alignment horizontal="center" vertical="center" wrapText="1"/>
    </xf>
    <xf numFmtId="0" fontId="6" fillId="8" borderId="5" xfId="0" applyFont="1" applyFill="1" applyBorder="1" applyAlignment="1">
      <alignment horizontal="center" vertical="top" wrapText="1"/>
    </xf>
    <xf numFmtId="0" fontId="6" fillId="8" borderId="6" xfId="0" applyFont="1" applyFill="1" applyBorder="1" applyAlignment="1">
      <alignment horizontal="center" vertical="top" wrapText="1"/>
    </xf>
    <xf numFmtId="0" fontId="6" fillId="8" borderId="7" xfId="0" applyFont="1" applyFill="1" applyBorder="1" applyAlignment="1">
      <alignment horizontal="center" vertical="top" wrapText="1"/>
    </xf>
    <xf numFmtId="0" fontId="6" fillId="7" borderId="5" xfId="0" applyFont="1" applyFill="1" applyBorder="1" applyAlignment="1">
      <alignment horizontal="center" vertical="top" wrapText="1"/>
    </xf>
    <xf numFmtId="0" fontId="6" fillId="7" borderId="6" xfId="0" applyFont="1" applyFill="1" applyBorder="1" applyAlignment="1">
      <alignment horizontal="center" vertical="top" wrapText="1"/>
    </xf>
    <xf numFmtId="0" fontId="6" fillId="7" borderId="7" xfId="0" applyFont="1" applyFill="1" applyBorder="1" applyAlignment="1">
      <alignment horizontal="center" vertical="top" wrapText="1"/>
    </xf>
    <xf numFmtId="0" fontId="6" fillId="6" borderId="5"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7"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6" xfId="0" applyFont="1" applyFill="1" applyBorder="1" applyAlignment="1">
      <alignment horizontal="center" vertical="top" wrapText="1"/>
    </xf>
    <xf numFmtId="0" fontId="6" fillId="9" borderId="7"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7" xfId="0" applyFont="1" applyFill="1" applyBorder="1" applyAlignment="1">
      <alignment horizontal="center" vertical="top" wrapText="1"/>
    </xf>
    <xf numFmtId="0" fontId="6" fillId="3" borderId="3" xfId="0" applyFont="1" applyFill="1" applyBorder="1" applyAlignment="1">
      <alignment horizontal="left" wrapText="1"/>
    </xf>
    <xf numFmtId="0" fontId="6" fillId="3" borderId="2"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9" borderId="15" xfId="0" applyFont="1" applyFill="1" applyBorder="1" applyAlignment="1">
      <alignment horizontal="left" vertical="top" wrapText="1"/>
    </xf>
    <xf numFmtId="0" fontId="6" fillId="3" borderId="17" xfId="0" applyFont="1" applyFill="1" applyBorder="1" applyAlignment="1">
      <alignment horizontal="left" vertical="center" wrapText="1" indent="2"/>
    </xf>
    <xf numFmtId="0" fontId="6" fillId="3" borderId="18" xfId="0" applyFont="1" applyFill="1" applyBorder="1" applyAlignment="1">
      <alignment horizontal="left" vertical="center" wrapText="1" indent="2"/>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indent="6"/>
    </xf>
    <xf numFmtId="0" fontId="6" fillId="3" borderId="6" xfId="0" applyFont="1" applyFill="1" applyBorder="1" applyAlignment="1">
      <alignment horizontal="left" vertical="top" wrapText="1" indent="6"/>
    </xf>
    <xf numFmtId="0" fontId="6" fillId="3" borderId="7" xfId="0" applyFont="1" applyFill="1" applyBorder="1" applyAlignment="1">
      <alignment horizontal="left" vertical="top" wrapText="1" indent="6"/>
    </xf>
    <xf numFmtId="0" fontId="6" fillId="3" borderId="2" xfId="0" applyFont="1" applyFill="1" applyBorder="1" applyAlignment="1">
      <alignment horizontal="left" wrapText="1" indent="1"/>
    </xf>
    <xf numFmtId="0" fontId="6" fillId="3" borderId="3" xfId="0" applyFont="1" applyFill="1" applyBorder="1" applyAlignment="1">
      <alignment horizontal="left" wrapText="1" indent="1"/>
    </xf>
    <xf numFmtId="0" fontId="6" fillId="3" borderId="5" xfId="0" applyFont="1" applyFill="1" applyBorder="1" applyAlignment="1">
      <alignment horizontal="left" vertical="top" wrapText="1" indent="10"/>
    </xf>
    <xf numFmtId="0" fontId="6" fillId="3" borderId="6" xfId="0" applyFont="1" applyFill="1" applyBorder="1" applyAlignment="1">
      <alignment horizontal="left" vertical="top" wrapText="1" indent="10"/>
    </xf>
    <xf numFmtId="0" fontId="6" fillId="3" borderId="7" xfId="0" applyFont="1" applyFill="1" applyBorder="1" applyAlignment="1">
      <alignment horizontal="left" vertical="top" wrapText="1" indent="10"/>
    </xf>
    <xf numFmtId="0" fontId="0" fillId="3" borderId="2" xfId="0" applyFill="1" applyBorder="1" applyAlignment="1">
      <alignment horizontal="left" wrapText="1"/>
    </xf>
    <xf numFmtId="0" fontId="0" fillId="3" borderId="3" xfId="0" applyFill="1" applyBorder="1" applyAlignment="1">
      <alignment horizontal="left" wrapText="1"/>
    </xf>
    <xf numFmtId="0" fontId="6" fillId="3" borderId="10" xfId="0" applyFont="1" applyFill="1" applyBorder="1" applyAlignment="1">
      <alignment horizontal="left" wrapText="1" indent="2"/>
    </xf>
    <xf numFmtId="0" fontId="6" fillId="3" borderId="11" xfId="0" applyFont="1" applyFill="1" applyBorder="1" applyAlignment="1">
      <alignment horizontal="left" vertical="top" wrapText="1" indent="3"/>
    </xf>
    <xf numFmtId="0" fontId="6" fillId="3" borderId="12" xfId="0" applyFont="1" applyFill="1" applyBorder="1" applyAlignment="1">
      <alignment horizontal="left" vertical="top" wrapText="1" indent="3"/>
    </xf>
    <xf numFmtId="0" fontId="6" fillId="3" borderId="11" xfId="0" applyFont="1" applyFill="1" applyBorder="1" applyAlignment="1">
      <alignment horizontal="center" vertical="top" wrapText="1"/>
    </xf>
    <xf numFmtId="0" fontId="6" fillId="3" borderId="12" xfId="0" applyFont="1" applyFill="1" applyBorder="1" applyAlignment="1">
      <alignment horizontal="center" vertical="top" wrapText="1"/>
    </xf>
    <xf numFmtId="0" fontId="0" fillId="3" borderId="11" xfId="0" applyFill="1" applyBorder="1" applyAlignment="1">
      <alignment horizontal="left" vertical="top" wrapText="1" indent="4"/>
    </xf>
    <xf numFmtId="0" fontId="0" fillId="3" borderId="12" xfId="0" applyFill="1" applyBorder="1" applyAlignment="1">
      <alignment horizontal="left" vertical="top" wrapText="1" indent="4"/>
    </xf>
    <xf numFmtId="0" fontId="0" fillId="3" borderId="11" xfId="0" applyFill="1" applyBorder="1" applyAlignment="1">
      <alignment horizontal="left" vertical="top" wrapText="1" indent="3"/>
    </xf>
    <xf numFmtId="0" fontId="0" fillId="3" borderId="12" xfId="0" applyFill="1" applyBorder="1" applyAlignment="1">
      <alignment horizontal="left" vertical="top" wrapText="1" indent="3"/>
    </xf>
    <xf numFmtId="0" fontId="6" fillId="3" borderId="11" xfId="0" applyFont="1" applyFill="1" applyBorder="1" applyAlignment="1">
      <alignment horizontal="left" vertical="top" wrapText="1" indent="4"/>
    </xf>
    <xf numFmtId="0" fontId="6" fillId="3" borderId="12" xfId="0" applyFont="1" applyFill="1" applyBorder="1" applyAlignment="1">
      <alignment horizontal="left" vertical="top" wrapText="1" indent="4"/>
    </xf>
    <xf numFmtId="0" fontId="0" fillId="3" borderId="11" xfId="0" applyFill="1" applyBorder="1" applyAlignment="1">
      <alignment horizontal="center" vertical="top" wrapText="1"/>
    </xf>
    <xf numFmtId="0" fontId="0" fillId="3" borderId="12" xfId="0" applyFill="1" applyBorder="1" applyAlignment="1">
      <alignment horizontal="center" vertical="top" wrapText="1"/>
    </xf>
    <xf numFmtId="0" fontId="6" fillId="3" borderId="5" xfId="0" applyFont="1" applyFill="1" applyBorder="1" applyAlignment="1">
      <alignment horizontal="left" vertical="top" wrapText="1" indent="5"/>
    </xf>
    <xf numFmtId="0" fontId="6" fillId="3" borderId="6" xfId="0" applyFont="1" applyFill="1" applyBorder="1" applyAlignment="1">
      <alignment horizontal="left" vertical="top" wrapText="1" indent="5"/>
    </xf>
    <xf numFmtId="0" fontId="6" fillId="3" borderId="7" xfId="0" applyFont="1" applyFill="1" applyBorder="1" applyAlignment="1">
      <alignment horizontal="left" vertical="top" wrapText="1" indent="5"/>
    </xf>
    <xf numFmtId="0" fontId="6" fillId="3" borderId="5" xfId="0" applyFont="1" applyFill="1" applyBorder="1" applyAlignment="1">
      <alignment horizontal="left" vertical="top" wrapText="1" indent="3"/>
    </xf>
    <xf numFmtId="0" fontId="6" fillId="3" borderId="7" xfId="0" applyFont="1" applyFill="1" applyBorder="1" applyAlignment="1">
      <alignment horizontal="left" vertical="top" wrapText="1" indent="3"/>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6" fillId="3" borderId="2" xfId="0" applyFont="1" applyFill="1" applyBorder="1" applyAlignment="1">
      <alignment horizontal="left" vertical="center" wrapText="1" indent="4"/>
    </xf>
    <xf numFmtId="0" fontId="6" fillId="3" borderId="3" xfId="0" applyFont="1" applyFill="1" applyBorder="1" applyAlignment="1">
      <alignment horizontal="left" vertical="center" wrapText="1" indent="4"/>
    </xf>
    <xf numFmtId="0" fontId="6" fillId="0" borderId="14" xfId="0" applyFont="1" applyBorder="1" applyAlignment="1">
      <alignment horizontal="center" vertical="top" wrapText="1"/>
    </xf>
    <xf numFmtId="0" fontId="6" fillId="0" borderId="3" xfId="0" applyFont="1" applyBorder="1" applyAlignment="1">
      <alignment horizontal="center" vertical="top" wrapText="1"/>
    </xf>
    <xf numFmtId="49" fontId="31" fillId="0" borderId="0" xfId="0" applyNumberFormat="1" applyFont="1" applyAlignment="1">
      <alignment horizontal="left" wrapText="1"/>
    </xf>
    <xf numFmtId="0" fontId="0" fillId="0" borderId="0" xfId="0"/>
    <xf numFmtId="0" fontId="33" fillId="0" borderId="15" xfId="0" applyFont="1" applyBorder="1" applyAlignment="1">
      <alignment horizontal="left" wrapText="1"/>
    </xf>
    <xf numFmtId="0" fontId="33" fillId="8" borderId="15" xfId="0" applyFont="1" applyFill="1" applyBorder="1" applyAlignment="1">
      <alignment horizontal="center" wrapText="1"/>
    </xf>
    <xf numFmtId="0" fontId="33" fillId="7" borderId="15" xfId="0" applyFont="1" applyFill="1" applyBorder="1" applyAlignment="1">
      <alignment horizontal="center" wrapText="1"/>
    </xf>
    <xf numFmtId="0" fontId="33" fillId="6" borderId="15" xfId="0" applyFont="1" applyFill="1" applyBorder="1" applyAlignment="1">
      <alignment horizontal="center" wrapText="1"/>
    </xf>
    <xf numFmtId="0" fontId="33" fillId="9" borderId="15" xfId="0" applyFont="1" applyFill="1" applyBorder="1" applyAlignment="1">
      <alignment horizontal="center" wrapText="1"/>
    </xf>
    <xf numFmtId="0" fontId="33" fillId="5" borderId="15" xfId="0" applyFont="1" applyFill="1" applyBorder="1" applyAlignment="1">
      <alignment horizontal="center" wrapText="1"/>
    </xf>
    <xf numFmtId="0" fontId="0" fillId="0" borderId="0" xfId="0" applyAlignment="1">
      <alignment horizontal="left" vertical="top" wrapText="1" indent="1"/>
    </xf>
    <xf numFmtId="0" fontId="6" fillId="0" borderId="0" xfId="0" applyFont="1" applyAlignment="1">
      <alignment horizontal="left" vertical="top" wrapText="1" indent="1"/>
    </xf>
    <xf numFmtId="0" fontId="39" fillId="0" borderId="0" xfId="0" applyFont="1" applyAlignment="1">
      <alignment horizontal="left" wrapText="1"/>
    </xf>
    <xf numFmtId="0" fontId="39" fillId="0" borderId="0" xfId="0" applyFont="1"/>
    <xf numFmtId="0" fontId="39" fillId="0" borderId="0" xfId="0" applyFont="1" applyAlignment="1">
      <alignment horizontal="left" vertical="top" wrapText="1"/>
    </xf>
    <xf numFmtId="0" fontId="39" fillId="0" borderId="0" xfId="0" applyFont="1" applyAlignment="1">
      <alignment horizontal="center" wrapText="1"/>
    </xf>
    <xf numFmtId="3" fontId="39" fillId="0" borderId="0" xfId="0" applyNumberFormat="1" applyFont="1" applyAlignment="1">
      <alignment horizontal="center" wrapText="1"/>
    </xf>
    <xf numFmtId="3" fontId="39" fillId="0" borderId="0" xfId="0" applyNumberFormat="1" applyFont="1"/>
    <xf numFmtId="0" fontId="40" fillId="0" borderId="0" xfId="1" applyAlignment="1">
      <alignment horizontal="left" vertical="top" wrapText="1"/>
    </xf>
    <xf numFmtId="0" fontId="40" fillId="0" borderId="0" xfId="1"/>
    <xf numFmtId="0" fontId="40" fillId="0" borderId="0" xfId="1" applyAlignment="1">
      <alignment horizontal="center" wrapText="1"/>
    </xf>
    <xf numFmtId="3" fontId="40" fillId="0" borderId="0" xfId="1" applyNumberFormat="1" applyAlignment="1">
      <alignment horizontal="center" wrapText="1"/>
    </xf>
    <xf numFmtId="3" fontId="40" fillId="0" borderId="0" xfId="1" applyNumberFormat="1"/>
    <xf numFmtId="0" fontId="40" fillId="0" borderId="0" xfId="1" applyAlignment="1">
      <alignment horizontal="left" wrapText="1"/>
    </xf>
    <xf numFmtId="0" fontId="1" fillId="0" borderId="0" xfId="0" applyFont="1" applyAlignment="1">
      <alignment horizontal="left" vertical="top" wrapText="1" indent="1"/>
    </xf>
    <xf numFmtId="0" fontId="9" fillId="0" borderId="0" xfId="0" applyFont="1" applyAlignment="1">
      <alignment horizontal="left" vertical="top" wrapText="1" inden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1" fontId="7" fillId="0" borderId="2" xfId="0" applyNumberFormat="1" applyFont="1" applyBorder="1" applyAlignment="1">
      <alignment horizontal="left" vertical="top" shrinkToFit="1"/>
    </xf>
    <xf numFmtId="1" fontId="7" fillId="0" borderId="10" xfId="0" applyNumberFormat="1" applyFont="1" applyBorder="1" applyAlignment="1">
      <alignment horizontal="left" vertical="top" shrinkToFit="1"/>
    </xf>
    <xf numFmtId="0" fontId="6" fillId="0" borderId="2" xfId="0" applyFont="1" applyBorder="1" applyAlignment="1">
      <alignment horizontal="left" vertical="top" wrapText="1"/>
    </xf>
    <xf numFmtId="0" fontId="6" fillId="0" borderId="10" xfId="0" applyFont="1" applyBorder="1" applyAlignment="1">
      <alignment horizontal="left" vertical="top" wrapText="1"/>
    </xf>
    <xf numFmtId="1" fontId="7" fillId="0" borderId="13" xfId="0" applyNumberFormat="1" applyFont="1" applyBorder="1" applyAlignment="1">
      <alignment horizontal="left" vertical="top" shrinkToFit="1"/>
    </xf>
    <xf numFmtId="0" fontId="6" fillId="0" borderId="13" xfId="0" applyFont="1" applyBorder="1" applyAlignment="1">
      <alignment horizontal="left" vertical="top" wrapText="1"/>
    </xf>
    <xf numFmtId="1" fontId="7" fillId="0" borderId="14" xfId="0" applyNumberFormat="1" applyFont="1" applyBorder="1" applyAlignment="1">
      <alignment horizontal="left" vertical="top" shrinkToFit="1"/>
    </xf>
    <xf numFmtId="0" fontId="6" fillId="0" borderId="14" xfId="0" applyFont="1" applyBorder="1" applyAlignment="1">
      <alignment horizontal="left" vertical="top" wrapText="1"/>
    </xf>
    <xf numFmtId="0" fontId="0" fillId="0" borderId="2" xfId="0" applyBorder="1" applyAlignment="1">
      <alignment horizontal="left" vertical="top" wrapText="1"/>
    </xf>
    <xf numFmtId="0" fontId="0" fillId="0" borderId="10" xfId="0" applyBorder="1" applyAlignment="1">
      <alignment horizontal="left" vertical="top" wrapText="1"/>
    </xf>
    <xf numFmtId="0" fontId="0" fillId="0" borderId="13" xfId="0" applyBorder="1" applyAlignment="1">
      <alignment horizontal="left" vertical="top" wrapText="1"/>
    </xf>
    <xf numFmtId="0" fontId="0" fillId="0" borderId="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top" wrapText="1"/>
    </xf>
    <xf numFmtId="0" fontId="0" fillId="0" borderId="3" xfId="0" applyBorder="1" applyAlignment="1">
      <alignment horizontal="left" vertical="top" wrapText="1"/>
    </xf>
    <xf numFmtId="0" fontId="6" fillId="3" borderId="5" xfId="0" applyFont="1" applyFill="1" applyBorder="1" applyAlignment="1">
      <alignment horizontal="left" vertical="top" wrapText="1" indent="8"/>
    </xf>
    <xf numFmtId="0" fontId="6" fillId="3" borderId="7" xfId="0" applyFont="1" applyFill="1" applyBorder="1" applyAlignment="1">
      <alignment horizontal="left" vertical="top" wrapText="1" indent="8"/>
    </xf>
    <xf numFmtId="0" fontId="6" fillId="0" borderId="3" xfId="0" applyFont="1" applyBorder="1" applyAlignment="1">
      <alignment horizontal="left" vertical="top" wrapText="1"/>
    </xf>
    <xf numFmtId="1" fontId="7" fillId="0" borderId="3" xfId="0" applyNumberFormat="1" applyFont="1" applyBorder="1" applyAlignment="1">
      <alignment horizontal="left" vertical="top" shrinkToFit="1"/>
    </xf>
  </cellXfs>
  <cellStyles count="2">
    <cellStyle name="Normal" xfId="0" builtinId="0"/>
    <cellStyle name="Normal 2" xfId="1" xr:uid="{CB16EC61-677F-4458-9E3A-028B0FAC86C4}"/>
  </cellStyles>
  <dxfs count="0"/>
  <tableStyles count="0" defaultTableStyle="TableStyleMedium9" defaultPivotStyle="PivotStyleLight16"/>
  <colors>
    <mruColors>
      <color rgb="FF99FFCC"/>
      <color rgb="FF99CCFF"/>
      <color rgb="FFFFCCFF"/>
      <color rgb="FFFFCC66"/>
      <color rgb="FF65F79D"/>
      <color rgb="FFCC99FF"/>
      <color rgb="FFCC66FF"/>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Population Data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'BCA Visualization'!$B$1:$B$2</c:f>
              <c:strCache>
                <c:ptCount val="2"/>
                <c:pt idx="0">
                  <c:v>All</c:v>
                </c:pt>
                <c:pt idx="1">
                  <c:v>Population</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Visualization'!$B$3:$B$8</c:f>
              <c:numCache>
                <c:formatCode>General</c:formatCode>
                <c:ptCount val="6"/>
                <c:pt idx="0">
                  <c:v>20.767082129060149</c:v>
                </c:pt>
                <c:pt idx="1">
                  <c:v>2.336974598481385</c:v>
                </c:pt>
                <c:pt idx="2" formatCode="&quot;$&quot;#,##0.00">
                  <c:v>31.029370073564639</c:v>
                </c:pt>
                <c:pt idx="3" formatCode="&quot;$&quot;#,##0.00">
                  <c:v>13.277581234185503</c:v>
                </c:pt>
                <c:pt idx="4" formatCode="&quot;$&quot;#,##0.00">
                  <c:v>17.751788839379138</c:v>
                </c:pt>
                <c:pt idx="5">
                  <c:v>1.336974598481385</c:v>
                </c:pt>
              </c:numCache>
            </c:numRef>
          </c:val>
          <c:extLst>
            <c:ext xmlns:c16="http://schemas.microsoft.com/office/drawing/2014/chart" uri="{C3380CC4-5D6E-409C-BE32-E72D297353CC}">
              <c16:uniqueId val="{00000000-EF0E-4A21-94EE-0F2E6E5690C4}"/>
            </c:ext>
          </c:extLst>
        </c:ser>
        <c:ser>
          <c:idx val="5"/>
          <c:order val="5"/>
          <c:tx>
            <c:strRef>
              <c:f>'BCA Visualization'!$G$1:$G$2</c:f>
              <c:strCache>
                <c:ptCount val="2"/>
                <c:pt idx="0">
                  <c:v>Bachelor's</c:v>
                </c:pt>
                <c:pt idx="1">
                  <c:v>Population</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Visualization'!$G$3:$G$8</c:f>
              <c:numCache>
                <c:formatCode>General</c:formatCode>
                <c:ptCount val="6"/>
                <c:pt idx="0">
                  <c:v>27.637583758841515</c:v>
                </c:pt>
                <c:pt idx="1">
                  <c:v>3.0970010996591903</c:v>
                </c:pt>
                <c:pt idx="2" formatCode="&quot;$&quot;#,##0.00">
                  <c:v>34.890678573049357</c:v>
                </c:pt>
                <c:pt idx="3" formatCode="&quot;$&quot;#,##0.00">
                  <c:v>11.265956146056553</c:v>
                </c:pt>
                <c:pt idx="4" formatCode="&quot;$&quot;#,##0.00">
                  <c:v>23.624722426992804</c:v>
                </c:pt>
                <c:pt idx="5">
                  <c:v>2.0970010996591903</c:v>
                </c:pt>
              </c:numCache>
            </c:numRef>
          </c:val>
          <c:extLst>
            <c:ext xmlns:c16="http://schemas.microsoft.com/office/drawing/2014/chart" uri="{C3380CC4-5D6E-409C-BE32-E72D297353CC}">
              <c16:uniqueId val="{00000005-EF0E-4A21-94EE-0F2E6E5690C4}"/>
            </c:ext>
          </c:extLst>
        </c:ser>
        <c:ser>
          <c:idx val="10"/>
          <c:order val="10"/>
          <c:tx>
            <c:strRef>
              <c:f>'BCA Visualization'!$L$1:$L$2</c:f>
              <c:strCache>
                <c:ptCount val="2"/>
                <c:pt idx="0">
                  <c:v>Master's</c:v>
                </c:pt>
                <c:pt idx="1">
                  <c:v>Population</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Visualization'!$L$3:$L$8</c:f>
              <c:numCache>
                <c:formatCode>General</c:formatCode>
                <c:ptCount val="6"/>
                <c:pt idx="0">
                  <c:v>15.5482786284166</c:v>
                </c:pt>
                <c:pt idx="1">
                  <c:v>2.9272329804745718</c:v>
                </c:pt>
                <c:pt idx="2" formatCode="&quot;$&quot;#,##0.00">
                  <c:v>20.187011387607456</c:v>
                </c:pt>
                <c:pt idx="3" formatCode="&quot;$&quot;#,##0.00">
                  <c:v>6.8962776527390295</c:v>
                </c:pt>
                <c:pt idx="4" formatCode="&quot;$&quot;#,##0.00">
                  <c:v>13.290733734868425</c:v>
                </c:pt>
                <c:pt idx="5">
                  <c:v>1.9272329804745718</c:v>
                </c:pt>
              </c:numCache>
            </c:numRef>
          </c:val>
          <c:extLst>
            <c:ext xmlns:c16="http://schemas.microsoft.com/office/drawing/2014/chart" uri="{C3380CC4-5D6E-409C-BE32-E72D297353CC}">
              <c16:uniqueId val="{00000011-EF0E-4A21-94EE-0F2E6E5690C4}"/>
            </c:ext>
          </c:extLst>
        </c:ser>
        <c:ser>
          <c:idx val="15"/>
          <c:order val="15"/>
          <c:tx>
            <c:strRef>
              <c:f>'BCA Visualization'!$Q$1:$Q$2</c:f>
              <c:strCache>
                <c:ptCount val="2"/>
                <c:pt idx="0">
                  <c:v>Doctorate</c:v>
                </c:pt>
                <c:pt idx="1">
                  <c:v>Population</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'BCA Visualization'!$A$3:$A$8</c:f>
              <c:strCache>
                <c:ptCount val="6"/>
                <c:pt idx="0">
                  <c:v>Net Benefits</c:v>
                </c:pt>
                <c:pt idx="1">
                  <c:v>Benefit-Cost Ratio</c:v>
                </c:pt>
                <c:pt idx="2">
                  <c:v>PV Benefits</c:v>
                </c:pt>
                <c:pt idx="3">
                  <c:v>PV Costs</c:v>
                </c:pt>
                <c:pt idx="4">
                  <c:v>NPV</c:v>
                </c:pt>
                <c:pt idx="5">
                  <c:v>ROI</c:v>
                </c:pt>
              </c:strCache>
            </c:strRef>
          </c:cat>
          <c:val>
            <c:numRef>
              <c:f>'BCA Visualization'!$Q$3:$Q$8</c:f>
              <c:numCache>
                <c:formatCode>General</c:formatCode>
                <c:ptCount val="6"/>
                <c:pt idx="0">
                  <c:v>13.714134600582401</c:v>
                </c:pt>
                <c:pt idx="1">
                  <c:v>5.8440270492894326</c:v>
                </c:pt>
                <c:pt idx="2" formatCode="&quot;$&quot;#,##0.00">
                  <c:v>14.142972869105463</c:v>
                </c:pt>
                <c:pt idx="3" formatCode="&quot;$&quot;#,##0.00">
                  <c:v>2.4200731361818542</c:v>
                </c:pt>
                <c:pt idx="4" formatCode="&quot;$&quot;#,##0.00">
                  <c:v>11.72289973292361</c:v>
                </c:pt>
                <c:pt idx="5">
                  <c:v>4.8440270492894326</c:v>
                </c:pt>
              </c:numCache>
            </c:numRef>
          </c:val>
          <c:extLst>
            <c:ext xmlns:c16="http://schemas.microsoft.com/office/drawing/2014/chart" uri="{C3380CC4-5D6E-409C-BE32-E72D297353CC}">
              <c16:uniqueId val="{00000016-EF0E-4A21-94EE-0F2E6E5690C4}"/>
            </c:ext>
          </c:extLst>
        </c:ser>
        <c:dLbls>
          <c:showLegendKey val="0"/>
          <c:showVal val="0"/>
          <c:showCatName val="0"/>
          <c:showSerName val="0"/>
          <c:showPercent val="0"/>
          <c:showBubbleSize val="0"/>
        </c:dLbls>
        <c:gapWidth val="100"/>
        <c:overlap val="-24"/>
        <c:axId val="327077376"/>
        <c:axId val="327083616"/>
        <c:extLst>
          <c:ext xmlns:c15="http://schemas.microsoft.com/office/drawing/2012/chart" uri="{02D57815-91ED-43cb-92C2-25804820EDAC}">
            <c15:filteredBarSeries>
              <c15:ser>
                <c:idx val="1"/>
                <c:order val="1"/>
                <c:tx>
                  <c:strRef>
                    <c:extLst>
                      <c:ex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c:ext uri="{02D57815-91ED-43cb-92C2-25804820EDAC}">
                        <c15:formulaRef>
                          <c15:sqref>'BCA Visualization'!$C$3:$C$8</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EF0E-4A21-94EE-0F2E6E5690C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'BCA Visualization'!$D$1:$D$2</c15:sqref>
                        </c15:formulaRef>
                      </c:ext>
                    </c:extLst>
                    <c:strCache>
                      <c:ptCount val="2"/>
                      <c:pt idx="0">
                        <c:v>All</c:v>
                      </c:pt>
                      <c:pt idx="1">
                        <c:v>Financial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Visualization'!$D$3:$D$8</c15:sqref>
                        </c15:formulaRef>
                      </c:ext>
                    </c:extLst>
                    <c:numCache>
                      <c:formatCode>General</c:formatCode>
                      <c:ptCount val="6"/>
                      <c:pt idx="0" formatCode="&quot;$&quot;#,##0.00">
                        <c:v>31747.408892901396</c:v>
                      </c:pt>
                      <c:pt idx="1">
                        <c:v>1.3287277851596058</c:v>
                      </c:pt>
                      <c:pt idx="2" formatCode="&quot;$&quot;#,##0.00">
                        <c:v>109691.89300969851</c:v>
                      </c:pt>
                      <c:pt idx="3" formatCode="&quot;$&quot;#,##0.00">
                        <c:v>82554.074833712017</c:v>
                      </c:pt>
                      <c:pt idx="4" formatCode="&quot;$&quot;#,##0.00">
                        <c:v>27137.818175986496</c:v>
                      </c:pt>
                      <c:pt idx="5">
                        <c:v>0.32872778515960571</c:v>
                      </c:pt>
                    </c:numCache>
                  </c:numRef>
                </c:val>
                <c:extLst xmlns:c15="http://schemas.microsoft.com/office/drawing/2012/chart">
                  <c:ext xmlns:c16="http://schemas.microsoft.com/office/drawing/2014/chart" uri="{C3380CC4-5D6E-409C-BE32-E72D297353CC}">
                    <c16:uniqueId val="{00000002-EF0E-4A21-94EE-0F2E6E5690C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Visualization'!$E$3:$E$8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EF0E-4A21-94EE-0F2E6E5690C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Visualization'!$F$3:$F$8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EF0E-4A21-94EE-0F2E6E5690C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Visualization'!$H$3:$H$8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D-EF0E-4A21-94EE-0F2E6E5690C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'BCA Visualization'!$I$1:$I$2</c15:sqref>
                        </c15:formulaRef>
                      </c:ext>
                    </c:extLst>
                    <c:strCache>
                      <c:ptCount val="2"/>
                      <c:pt idx="0">
                        <c:v>Bachelor's</c:v>
                      </c:pt>
                      <c:pt idx="1">
                        <c:v>Financial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Visualization'!$I$3:$I$8</c15:sqref>
                        </c15:formulaRef>
                      </c:ext>
                    </c:extLst>
                    <c:numCache>
                      <c:formatCode>General</c:formatCode>
                      <c:ptCount val="6"/>
                      <c:pt idx="0" formatCode="&quot;$&quot;#,##0.00">
                        <c:v>29833.084851147898</c:v>
                      </c:pt>
                      <c:pt idx="1">
                        <c:v>1.2727498696668229</c:v>
                      </c:pt>
                      <c:pt idx="2" formatCode="&quot;$&quot;#,##0.00">
                        <c:v>118999.00104163017</c:v>
                      </c:pt>
                      <c:pt idx="3" formatCode="&quot;$&quot;#,##0.00">
                        <c:v>93497.555079523532</c:v>
                      </c:pt>
                      <c:pt idx="4" formatCode="&quot;$&quot;#,##0.00">
                        <c:v>25501.445962106634</c:v>
                      </c:pt>
                      <c:pt idx="5">
                        <c:v>0.27274986966682296</c:v>
                      </c:pt>
                    </c:numCache>
                  </c:numRef>
                </c:val>
                <c:extLst xmlns:c15="http://schemas.microsoft.com/office/drawing/2012/chart">
                  <c:ext xmlns:c16="http://schemas.microsoft.com/office/drawing/2014/chart" uri="{C3380CC4-5D6E-409C-BE32-E72D297353CC}">
                    <c16:uniqueId val="{0000000E-EF0E-4A21-94EE-0F2E6E5690C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Visualization'!$J$3:$J$8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F-EF0E-4A21-94EE-0F2E6E5690C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Visualization'!$K$3:$K$8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0-EF0E-4A21-94EE-0F2E6E5690C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Visualization'!$M$3:$M$8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2-EF0E-4A21-94EE-0F2E6E5690C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'BCA Visualization'!$N$1:$N$2</c15:sqref>
                        </c15:formulaRef>
                      </c:ext>
                    </c:extLst>
                    <c:strCache>
                      <c:ptCount val="2"/>
                      <c:pt idx="0">
                        <c:v>Master's</c:v>
                      </c:pt>
                      <c:pt idx="1">
                        <c:v>Financial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Visualization'!$N$3:$N$8</c15:sqref>
                        </c15:formulaRef>
                      </c:ext>
                    </c:extLst>
                    <c:numCache>
                      <c:formatCode>General</c:formatCode>
                      <c:ptCount val="6"/>
                      <c:pt idx="0" formatCode="&quot;$&quot;#,##0.00">
                        <c:v>27627.813034576713</c:v>
                      </c:pt>
                      <c:pt idx="1">
                        <c:v>1.1906994766584413</c:v>
                      </c:pt>
                      <c:pt idx="2" formatCode="&quot;$&quot;#,##0.00">
                        <c:v>147457.14216939179</c:v>
                      </c:pt>
                      <c:pt idx="3" formatCode="&quot;$&quot;#,##0.00">
                        <c:v>123840.77179844995</c:v>
                      </c:pt>
                      <c:pt idx="4" formatCode="&quot;$&quot;#,##0.00">
                        <c:v>23616.370370941848</c:v>
                      </c:pt>
                      <c:pt idx="5">
                        <c:v>0.19069947665844128</c:v>
                      </c:pt>
                    </c:numCache>
                  </c:numRef>
                </c:val>
                <c:extLst xmlns:c15="http://schemas.microsoft.com/office/drawing/2012/chart">
                  <c:ext xmlns:c16="http://schemas.microsoft.com/office/drawing/2014/chart" uri="{C3380CC4-5D6E-409C-BE32-E72D297353CC}">
                    <c16:uniqueId val="{00000013-EF0E-4A21-94EE-0F2E6E5690C4}"/>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Visualization'!$O$3:$O$8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14-EF0E-4A21-94EE-0F2E6E5690C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Visualization'!$P$3:$P$8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5-EF0E-4A21-94EE-0F2E6E5690C4}"/>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Visualization'!$R$3:$R$8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17-EF0E-4A21-94EE-0F2E6E5690C4}"/>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'BCA Visualization'!$S$1:$S$2</c15:sqref>
                        </c15:formulaRef>
                      </c:ext>
                    </c:extLst>
                    <c:strCache>
                      <c:ptCount val="2"/>
                      <c:pt idx="0">
                        <c:v>Doctorate</c:v>
                      </c:pt>
                      <c:pt idx="1">
                        <c:v>Financial</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xmlns:c15="http://schemas.microsoft.com/office/drawing/2012/chart">
                      <c:ext xmlns:c15="http://schemas.microsoft.com/office/drawing/2012/chart" uri="{02D57815-91ED-43cb-92C2-25804820EDAC}">
                        <c15:formulaRef>
                          <c15:sqref>'BCA Visualization'!$A$3:$A$8</c15:sqref>
                        </c15:formulaRef>
                      </c:ext>
                    </c:extLst>
                    <c:strCache>
                      <c:ptCount val="6"/>
                      <c:pt idx="0">
                        <c:v>Net Benefits</c:v>
                      </c:pt>
                      <c:pt idx="1">
                        <c:v>Benefit-Cost Ratio</c:v>
                      </c:pt>
                      <c:pt idx="2">
                        <c:v>PV Benefits</c:v>
                      </c:pt>
                      <c:pt idx="3">
                        <c:v>PV Costs</c:v>
                      </c:pt>
                      <c:pt idx="4">
                        <c:v>NPV</c:v>
                      </c:pt>
                      <c:pt idx="5">
                        <c:v>ROI</c:v>
                      </c:pt>
                    </c:strCache>
                  </c:strRef>
                </c:cat>
                <c:val>
                  <c:numRef>
                    <c:extLst xmlns:c15="http://schemas.microsoft.com/office/drawing/2012/chart">
                      <c:ext xmlns:c15="http://schemas.microsoft.com/office/drawing/2012/chart" uri="{02D57815-91ED-43cb-92C2-25804820EDAC}">
                        <c15:formulaRef>
                          <c15:sqref>'BCA Visualization'!$S$3:$S$8</c15:sqref>
                        </c15:formulaRef>
                      </c:ext>
                    </c:extLst>
                    <c:numCache>
                      <c:formatCode>General</c:formatCode>
                      <c:ptCount val="6"/>
                      <c:pt idx="0" formatCode="&quot;$&quot;#,##0.00_);[Red]\(&quot;$&quot;#,##0.00\)">
                        <c:v>-36725.488992823171</c:v>
                      </c:pt>
                      <c:pt idx="1">
                        <c:v>0.83694191574535159</c:v>
                      </c:pt>
                      <c:pt idx="2" formatCode="&quot;$&quot;#,##0.00_);[Red]\(&quot;$&quot;#,##0.00\)">
                        <c:v>161134.0092258674</c:v>
                      </c:pt>
                      <c:pt idx="3" formatCode="&quot;$&quot;#,##0.00_);[Red]\(&quot;$&quot;#,##0.00\)">
                        <c:v>192527.11113454873</c:v>
                      </c:pt>
                      <c:pt idx="4" formatCode="&quot;$&quot;#,##0.00_);[Red]\(&quot;$&quot;#,##0.00\)">
                        <c:v>-31393.101908681332</c:v>
                      </c:pt>
                      <c:pt idx="5">
                        <c:v>-0.16305808425464843</c:v>
                      </c:pt>
                    </c:numCache>
                  </c:numRef>
                </c:val>
                <c:extLst xmlns:c15="http://schemas.microsoft.com/office/drawing/2012/chart">
                  <c:ext xmlns:c16="http://schemas.microsoft.com/office/drawing/2014/chart" uri="{C3380CC4-5D6E-409C-BE32-E72D297353CC}">
                    <c16:uniqueId val="{00000018-EF0E-4A21-94EE-0F2E6E5690C4}"/>
                  </c:ext>
                </c:extLst>
              </c15:ser>
            </c15:filteredBarSeries>
          </c:ext>
        </c:extLst>
      </c:barChart>
      <c:catAx>
        <c:axId val="32707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083616"/>
        <c:crosses val="autoZero"/>
        <c:auto val="1"/>
        <c:lblAlgn val="ctr"/>
        <c:lblOffset val="100"/>
        <c:noMultiLvlLbl val="0"/>
      </c:catAx>
      <c:valAx>
        <c:axId val="32708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07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Employed Scientists and Engineers by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6-1'!$T$3</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6-1'!$T$4:$T$7</c:f>
              <c:numCache>
                <c:formatCode>#,##0</c:formatCode>
                <c:ptCount val="4"/>
                <c:pt idx="0">
                  <c:v>4588000</c:v>
                </c:pt>
                <c:pt idx="1">
                  <c:v>2529000</c:v>
                </c:pt>
                <c:pt idx="2">
                  <c:v>1406000</c:v>
                </c:pt>
                <c:pt idx="3">
                  <c:v>605000</c:v>
                </c:pt>
              </c:numCache>
            </c:numRef>
          </c:val>
          <c:extLst>
            <c:ext xmlns:c16="http://schemas.microsoft.com/office/drawing/2014/chart" uri="{C3380CC4-5D6E-409C-BE32-E72D297353CC}">
              <c16:uniqueId val="{00000000-96D8-46D3-BEF8-765D114C93CF}"/>
            </c:ext>
          </c:extLst>
        </c:ser>
        <c:ser>
          <c:idx val="1"/>
          <c:order val="1"/>
          <c:tx>
            <c:strRef>
              <c:f>'Table 6-1'!$U$3</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6-1'!$U$4:$U$7</c:f>
              <c:numCache>
                <c:formatCode>#,##0</c:formatCode>
                <c:ptCount val="4"/>
                <c:pt idx="0">
                  <c:v>5374000</c:v>
                </c:pt>
                <c:pt idx="1">
                  <c:v>2980000</c:v>
                </c:pt>
                <c:pt idx="2">
                  <c:v>1644000</c:v>
                </c:pt>
                <c:pt idx="3">
                  <c:v>692000</c:v>
                </c:pt>
              </c:numCache>
            </c:numRef>
          </c:val>
          <c:extLst>
            <c:ext xmlns:c16="http://schemas.microsoft.com/office/drawing/2014/chart" uri="{C3380CC4-5D6E-409C-BE32-E72D297353CC}">
              <c16:uniqueId val="{00000001-96D8-46D3-BEF8-765D114C93CF}"/>
            </c:ext>
          </c:extLst>
        </c:ser>
        <c:ser>
          <c:idx val="2"/>
          <c:order val="2"/>
          <c:tx>
            <c:strRef>
              <c:f>'Table 6-1'!$V$3</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6-1'!$V$4:$V$7</c:f>
              <c:numCache>
                <c:formatCode>#,##0</c:formatCode>
                <c:ptCount val="4"/>
                <c:pt idx="0">
                  <c:v>5766000</c:v>
                </c:pt>
                <c:pt idx="1">
                  <c:v>3288000</c:v>
                </c:pt>
                <c:pt idx="2">
                  <c:v>1689000</c:v>
                </c:pt>
                <c:pt idx="3">
                  <c:v>724000</c:v>
                </c:pt>
              </c:numCache>
            </c:numRef>
          </c:val>
          <c:extLst>
            <c:ext xmlns:c16="http://schemas.microsoft.com/office/drawing/2014/chart" uri="{C3380CC4-5D6E-409C-BE32-E72D297353CC}">
              <c16:uniqueId val="{00000002-96D8-46D3-BEF8-765D114C93CF}"/>
            </c:ext>
          </c:extLst>
        </c:ser>
        <c:ser>
          <c:idx val="3"/>
          <c:order val="3"/>
          <c:tx>
            <c:strRef>
              <c:f>'Table 6-1'!$W$3</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6-1'!$W$4:$W$7</c:f>
              <c:numCache>
                <c:formatCode>#,##0</c:formatCode>
                <c:ptCount val="4"/>
                <c:pt idx="0">
                  <c:v>6407000</c:v>
                </c:pt>
                <c:pt idx="1">
                  <c:v>3518000</c:v>
                </c:pt>
                <c:pt idx="2">
                  <c:v>2076000</c:v>
                </c:pt>
                <c:pt idx="3">
                  <c:v>751000</c:v>
                </c:pt>
              </c:numCache>
            </c:numRef>
          </c:val>
          <c:extLst>
            <c:ext xmlns:c16="http://schemas.microsoft.com/office/drawing/2014/chart" uri="{C3380CC4-5D6E-409C-BE32-E72D297353CC}">
              <c16:uniqueId val="{00000003-96D8-46D3-BEF8-765D114C93CF}"/>
            </c:ext>
          </c:extLst>
        </c:ser>
        <c:ser>
          <c:idx val="4"/>
          <c:order val="4"/>
          <c:tx>
            <c:strRef>
              <c:f>'Table 6-1'!$X$3</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6-1'!$X$4:$X$7</c:f>
              <c:numCache>
                <c:formatCode>#,##0</c:formatCode>
                <c:ptCount val="4"/>
                <c:pt idx="0">
                  <c:v>6769000</c:v>
                </c:pt>
                <c:pt idx="1">
                  <c:v>3846000</c:v>
                </c:pt>
                <c:pt idx="2">
                  <c:v>2069000</c:v>
                </c:pt>
                <c:pt idx="3">
                  <c:v>786000</c:v>
                </c:pt>
              </c:numCache>
            </c:numRef>
          </c:val>
          <c:extLst>
            <c:ext xmlns:c16="http://schemas.microsoft.com/office/drawing/2014/chart" uri="{C3380CC4-5D6E-409C-BE32-E72D297353CC}">
              <c16:uniqueId val="{00000004-96D8-46D3-BEF8-765D114C93CF}"/>
            </c:ext>
          </c:extLst>
        </c:ser>
        <c:ser>
          <c:idx val="5"/>
          <c:order val="5"/>
          <c:tx>
            <c:strRef>
              <c:f>'Table 6-1'!$Y$3</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6-1'!$Y$4:$Y$7</c:f>
              <c:numCache>
                <c:formatCode>#,##0</c:formatCode>
                <c:ptCount val="4"/>
                <c:pt idx="0">
                  <c:v>7466000</c:v>
                </c:pt>
                <c:pt idx="1">
                  <c:v>4176000</c:v>
                </c:pt>
                <c:pt idx="2">
                  <c:v>2286000</c:v>
                </c:pt>
                <c:pt idx="3">
                  <c:v>938000</c:v>
                </c:pt>
              </c:numCache>
            </c:numRef>
          </c:val>
          <c:extLst>
            <c:ext xmlns:c16="http://schemas.microsoft.com/office/drawing/2014/chart" uri="{C3380CC4-5D6E-409C-BE32-E72D297353CC}">
              <c16:uniqueId val="{00000005-96D8-46D3-BEF8-765D114C93CF}"/>
            </c:ext>
          </c:extLst>
        </c:ser>
        <c:ser>
          <c:idx val="6"/>
          <c:order val="6"/>
          <c:tx>
            <c:strRef>
              <c:f>'Table 6-1'!$Z$3</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6-1'!$S$4:$S$7</c:f>
              <c:strCache>
                <c:ptCount val="4"/>
                <c:pt idx="0">
                  <c:v>Employed scientists and engineers</c:v>
                </c:pt>
                <c:pt idx="1">
                  <c:v>Bachelor's</c:v>
                </c:pt>
                <c:pt idx="2">
                  <c:v>Master's</c:v>
                </c:pt>
                <c:pt idx="3">
                  <c:v>Doctorate</c:v>
                </c:pt>
              </c:strCache>
            </c:strRef>
          </c:cat>
          <c:val>
            <c:numRef>
              <c:f>'Table 6-1'!$Z$4:$Z$7</c:f>
              <c:numCache>
                <c:formatCode>#,##0</c:formatCode>
                <c:ptCount val="4"/>
                <c:pt idx="0">
                  <c:v>7894000</c:v>
                </c:pt>
                <c:pt idx="1">
                  <c:v>4438000</c:v>
                </c:pt>
                <c:pt idx="2">
                  <c:v>2411000</c:v>
                </c:pt>
                <c:pt idx="3">
                  <c:v>962000</c:v>
                </c:pt>
              </c:numCache>
            </c:numRef>
          </c:val>
          <c:extLst>
            <c:ext xmlns:c16="http://schemas.microsoft.com/office/drawing/2014/chart" uri="{C3380CC4-5D6E-409C-BE32-E72D297353CC}">
              <c16:uniqueId val="{00000006-96D8-46D3-BEF8-765D114C93CF}"/>
            </c:ext>
          </c:extLst>
        </c:ser>
        <c:dLbls>
          <c:showLegendKey val="0"/>
          <c:showVal val="0"/>
          <c:showCatName val="0"/>
          <c:showSerName val="0"/>
          <c:showPercent val="0"/>
          <c:showBubbleSize val="0"/>
        </c:dLbls>
        <c:gapWidth val="100"/>
        <c:overlap val="-24"/>
        <c:axId val="280441887"/>
        <c:axId val="280442367"/>
      </c:barChart>
      <c:catAx>
        <c:axId val="28044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442367"/>
        <c:crosses val="autoZero"/>
        <c:auto val="1"/>
        <c:lblAlgn val="ctr"/>
        <c:lblOffset val="100"/>
        <c:noMultiLvlLbl val="0"/>
      </c:catAx>
      <c:valAx>
        <c:axId val="2804423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44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bg1">
                    <a:lumMod val="85000"/>
                  </a:schemeClr>
                </a:solidFill>
              </a:ln>
              <a:effectLst/>
            </c:spPr>
            <c:trendlineType val="linear"/>
            <c:dispRSqr val="0"/>
            <c:dispEq val="0"/>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6-1'!$K$4:$Q$4</c:f>
              <c:numCache>
                <c:formatCode>0.00%</c:formatCode>
                <c:ptCount val="7"/>
                <c:pt idx="0">
                  <c:v>0.1036508223386951</c:v>
                </c:pt>
                <c:pt idx="1">
                  <c:v>0.12140791613952648</c:v>
                </c:pt>
                <c:pt idx="2">
                  <c:v>0.13026387131754924</c:v>
                </c:pt>
                <c:pt idx="3">
                  <c:v>0.14474516537140791</c:v>
                </c:pt>
                <c:pt idx="4">
                  <c:v>0.15292336887764324</c:v>
                </c:pt>
                <c:pt idx="5">
                  <c:v>0.16866979938550516</c:v>
                </c:pt>
                <c:pt idx="6">
                  <c:v>0.17833905656967286</c:v>
                </c:pt>
              </c:numCache>
            </c:numRef>
          </c:val>
          <c:smooth val="0"/>
          <c:extLst>
            <c:ext xmlns:c16="http://schemas.microsoft.com/office/drawing/2014/chart" uri="{C3380CC4-5D6E-409C-BE32-E72D297353CC}">
              <c16:uniqueId val="{00000000-AD86-4461-9F61-E5FBACBC523D}"/>
            </c:ext>
          </c:extLst>
        </c:ser>
        <c:dLbls>
          <c:showLegendKey val="0"/>
          <c:showVal val="0"/>
          <c:showCatName val="0"/>
          <c:showSerName val="0"/>
          <c:showPercent val="0"/>
          <c:showBubbleSize val="0"/>
        </c:dLbls>
        <c:smooth val="0"/>
        <c:axId val="2032370032"/>
        <c:axId val="443944720"/>
      </c:lineChart>
      <c:catAx>
        <c:axId val="2032370032"/>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944720"/>
        <c:crosses val="autoZero"/>
        <c:auto val="1"/>
        <c:lblAlgn val="ctr"/>
        <c:lblOffset val="100"/>
        <c:noMultiLvlLbl val="0"/>
      </c:catAx>
      <c:valAx>
        <c:axId val="4439447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3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6-1'!$K$44:$Q$44</c:f>
              <c:numCache>
                <c:formatCode>0.00%</c:formatCode>
                <c:ptCount val="7"/>
                <c:pt idx="0">
                  <c:v>0.1020787083753784</c:v>
                </c:pt>
                <c:pt idx="1">
                  <c:v>0.12028254288597376</c:v>
                </c:pt>
                <c:pt idx="2">
                  <c:v>0.13271442986881937</c:v>
                </c:pt>
                <c:pt idx="3">
                  <c:v>0.14199798183652876</c:v>
                </c:pt>
                <c:pt idx="4">
                  <c:v>0.15523713420787083</c:v>
                </c:pt>
                <c:pt idx="5">
                  <c:v>0.16855701311806257</c:v>
                </c:pt>
                <c:pt idx="6">
                  <c:v>0.1791321897073663</c:v>
                </c:pt>
              </c:numCache>
            </c:numRef>
          </c:val>
          <c:smooth val="0"/>
          <c:extLst>
            <c:ext xmlns:c16="http://schemas.microsoft.com/office/drawing/2014/chart" uri="{C3380CC4-5D6E-409C-BE32-E72D297353CC}">
              <c16:uniqueId val="{00000000-472F-4ED8-AFDB-6439501A6991}"/>
            </c:ext>
          </c:extLst>
        </c:ser>
        <c:dLbls>
          <c:showLegendKey val="0"/>
          <c:showVal val="0"/>
          <c:showCatName val="0"/>
          <c:showSerName val="0"/>
          <c:showPercent val="0"/>
          <c:showBubbleSize val="0"/>
        </c:dLbls>
        <c:smooth val="0"/>
        <c:axId val="578799584"/>
        <c:axId val="578799104"/>
      </c:lineChart>
      <c:catAx>
        <c:axId val="578799584"/>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9104"/>
        <c:crosses val="autoZero"/>
        <c:auto val="1"/>
        <c:lblAlgn val="ctr"/>
        <c:lblOffset val="100"/>
        <c:noMultiLvlLbl val="0"/>
      </c:catAx>
      <c:valAx>
        <c:axId val="57879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6-1'!$K$84:$Q$84</c:f>
              <c:numCache>
                <c:formatCode>0.00%</c:formatCode>
                <c:ptCount val="7"/>
                <c:pt idx="0">
                  <c:v>0.10352698623076356</c:v>
                </c:pt>
                <c:pt idx="1">
                  <c:v>0.12105146896399381</c:v>
                </c:pt>
                <c:pt idx="2">
                  <c:v>0.12436492158162138</c:v>
                </c:pt>
                <c:pt idx="3">
                  <c:v>0.15286061409321847</c:v>
                </c:pt>
                <c:pt idx="4">
                  <c:v>0.1523451881304764</c:v>
                </c:pt>
                <c:pt idx="5">
                  <c:v>0.16832339297548046</c:v>
                </c:pt>
                <c:pt idx="6">
                  <c:v>0.1775274280244459</c:v>
                </c:pt>
              </c:numCache>
            </c:numRef>
          </c:val>
          <c:smooth val="0"/>
          <c:extLst>
            <c:ext xmlns:c16="http://schemas.microsoft.com/office/drawing/2014/chart" uri="{C3380CC4-5D6E-409C-BE32-E72D297353CC}">
              <c16:uniqueId val="{00000000-E1B0-42EA-B355-F36FFF59D5AC}"/>
            </c:ext>
          </c:extLst>
        </c:ser>
        <c:dLbls>
          <c:showLegendKey val="0"/>
          <c:showVal val="0"/>
          <c:showCatName val="0"/>
          <c:showSerName val="0"/>
          <c:showPercent val="0"/>
          <c:showBubbleSize val="0"/>
        </c:dLbls>
        <c:smooth val="0"/>
        <c:axId val="2032196960"/>
        <c:axId val="2032196000"/>
      </c:lineChart>
      <c:catAx>
        <c:axId val="2032196960"/>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6000"/>
        <c:crosses val="autoZero"/>
        <c:auto val="1"/>
        <c:lblAlgn val="ctr"/>
        <c:lblOffset val="100"/>
        <c:noMultiLvlLbl val="0"/>
      </c:catAx>
      <c:valAx>
        <c:axId val="2032196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6-1'!$B$3:$H$3</c:f>
              <c:numCache>
                <c:formatCode>0</c:formatCode>
                <c:ptCount val="7"/>
                <c:pt idx="0">
                  <c:v>2003</c:v>
                </c:pt>
                <c:pt idx="1">
                  <c:v>2010</c:v>
                </c:pt>
                <c:pt idx="2">
                  <c:v>2013</c:v>
                </c:pt>
                <c:pt idx="3">
                  <c:v>2015</c:v>
                </c:pt>
                <c:pt idx="4">
                  <c:v>2017</c:v>
                </c:pt>
                <c:pt idx="5">
                  <c:v>2019</c:v>
                </c:pt>
                <c:pt idx="6">
                  <c:v>2021</c:v>
                </c:pt>
              </c:numCache>
            </c:numRef>
          </c:cat>
          <c:val>
            <c:numRef>
              <c:f>'Table 6-1'!$K$124:$Q$124</c:f>
              <c:numCache>
                <c:formatCode>0.00%</c:formatCode>
                <c:ptCount val="7"/>
                <c:pt idx="0">
                  <c:v>0.11084646390619274</c:v>
                </c:pt>
                <c:pt idx="1">
                  <c:v>0.12678636863319898</c:v>
                </c:pt>
                <c:pt idx="2">
                  <c:v>0.13264932209600586</c:v>
                </c:pt>
                <c:pt idx="3">
                  <c:v>0.13759618908024918</c:v>
                </c:pt>
                <c:pt idx="4">
                  <c:v>0.14400879443019421</c:v>
                </c:pt>
                <c:pt idx="5">
                  <c:v>0.17185782337852692</c:v>
                </c:pt>
                <c:pt idx="6">
                  <c:v>0.17625503847563209</c:v>
                </c:pt>
              </c:numCache>
            </c:numRef>
          </c:val>
          <c:smooth val="0"/>
          <c:extLst>
            <c:ext xmlns:c16="http://schemas.microsoft.com/office/drawing/2014/chart" uri="{C3380CC4-5D6E-409C-BE32-E72D297353CC}">
              <c16:uniqueId val="{00000000-3053-45E6-8018-E69BE26DB084}"/>
            </c:ext>
          </c:extLst>
        </c:ser>
        <c:dLbls>
          <c:showLegendKey val="0"/>
          <c:showVal val="0"/>
          <c:showCatName val="0"/>
          <c:showSerName val="0"/>
          <c:showPercent val="0"/>
          <c:showBubbleSize val="0"/>
        </c:dLbls>
        <c:smooth val="0"/>
        <c:axId val="435847408"/>
        <c:axId val="1834879552"/>
      </c:lineChart>
      <c:catAx>
        <c:axId val="435847408"/>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4879552"/>
        <c:crosses val="autoZero"/>
        <c:auto val="1"/>
        <c:lblAlgn val="ctr"/>
        <c:lblOffset val="100"/>
        <c:noMultiLvlLbl val="0"/>
      </c:catAx>
      <c:valAx>
        <c:axId val="18348795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84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Educational Levels (Both Genders)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6-3'!$AK$4</c:f>
              <c:strCache>
                <c:ptCount val="1"/>
                <c:pt idx="0">
                  <c:v>Both sexes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6-3'!$AL$4:$AR$4</c:f>
              <c:numCache>
                <c:formatCode>#,##0</c:formatCode>
                <c:ptCount val="7"/>
                <c:pt idx="0">
                  <c:v>32574000</c:v>
                </c:pt>
                <c:pt idx="1">
                  <c:v>40623000</c:v>
                </c:pt>
                <c:pt idx="2">
                  <c:v>43839000</c:v>
                </c:pt>
                <c:pt idx="3">
                  <c:v>45941000</c:v>
                </c:pt>
                <c:pt idx="4">
                  <c:v>48223000</c:v>
                </c:pt>
                <c:pt idx="5">
                  <c:v>50524000</c:v>
                </c:pt>
                <c:pt idx="6">
                  <c:v>51764000</c:v>
                </c:pt>
              </c:numCache>
            </c:numRef>
          </c:val>
          <c:extLst>
            <c:ext xmlns:c16="http://schemas.microsoft.com/office/drawing/2014/chart" uri="{C3380CC4-5D6E-409C-BE32-E72D297353CC}">
              <c16:uniqueId val="{00000000-EC10-4054-95A0-2EC45BEFFDA6}"/>
            </c:ext>
          </c:extLst>
        </c:ser>
        <c:ser>
          <c:idx val="1"/>
          <c:order val="1"/>
          <c:tx>
            <c:strRef>
              <c:f>'Table 6-3'!$AK$5</c:f>
              <c:strCache>
                <c:ptCount val="1"/>
                <c:pt idx="0">
                  <c:v>Bachelor's</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6-3'!$AL$5:$AR$5</c:f>
              <c:numCache>
                <c:formatCode>#,##0</c:formatCode>
                <c:ptCount val="7"/>
                <c:pt idx="0">
                  <c:v>20365000</c:v>
                </c:pt>
                <c:pt idx="1">
                  <c:v>25354000</c:v>
                </c:pt>
                <c:pt idx="2">
                  <c:v>27802000</c:v>
                </c:pt>
                <c:pt idx="3">
                  <c:v>28509000</c:v>
                </c:pt>
                <c:pt idx="4">
                  <c:v>30131000</c:v>
                </c:pt>
                <c:pt idx="5">
                  <c:v>31373000</c:v>
                </c:pt>
                <c:pt idx="6">
                  <c:v>31688000</c:v>
                </c:pt>
              </c:numCache>
            </c:numRef>
          </c:val>
          <c:extLst>
            <c:ext xmlns:c16="http://schemas.microsoft.com/office/drawing/2014/chart" uri="{C3380CC4-5D6E-409C-BE32-E72D297353CC}">
              <c16:uniqueId val="{00000001-EC10-4054-95A0-2EC45BEFFDA6}"/>
            </c:ext>
          </c:extLst>
        </c:ser>
        <c:ser>
          <c:idx val="2"/>
          <c:order val="2"/>
          <c:tx>
            <c:strRef>
              <c:f>'Table 6-3'!$AK$6</c:f>
              <c:strCache>
                <c:ptCount val="1"/>
                <c:pt idx="0">
                  <c:v>Master's</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6-3'!$AL$6:$AR$6</c:f>
              <c:numCache>
                <c:formatCode>#,##0</c:formatCode>
                <c:ptCount val="7"/>
                <c:pt idx="0">
                  <c:v>8677000</c:v>
                </c:pt>
                <c:pt idx="1">
                  <c:v>11118000</c:v>
                </c:pt>
                <c:pt idx="2">
                  <c:v>11728000</c:v>
                </c:pt>
                <c:pt idx="3">
                  <c:v>12888000</c:v>
                </c:pt>
                <c:pt idx="4">
                  <c:v>13260000</c:v>
                </c:pt>
                <c:pt idx="5">
                  <c:v>14158000</c:v>
                </c:pt>
                <c:pt idx="6">
                  <c:v>14688000</c:v>
                </c:pt>
              </c:numCache>
            </c:numRef>
          </c:val>
          <c:extLst>
            <c:ext xmlns:c16="http://schemas.microsoft.com/office/drawing/2014/chart" uri="{C3380CC4-5D6E-409C-BE32-E72D297353CC}">
              <c16:uniqueId val="{00000002-EC10-4054-95A0-2EC45BEFFDA6}"/>
            </c:ext>
          </c:extLst>
        </c:ser>
        <c:ser>
          <c:idx val="3"/>
          <c:order val="3"/>
          <c:tx>
            <c:strRef>
              <c:f>'Table 6-3'!$AK$7</c:f>
              <c:strCache>
                <c:ptCount val="1"/>
                <c:pt idx="0">
                  <c:v>Doctorate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6-3'!$AL$3:$AR$3</c:f>
              <c:numCache>
                <c:formatCode>0</c:formatCode>
                <c:ptCount val="7"/>
                <c:pt idx="0">
                  <c:v>2003</c:v>
                </c:pt>
                <c:pt idx="1">
                  <c:v>2010</c:v>
                </c:pt>
                <c:pt idx="2">
                  <c:v>2013</c:v>
                </c:pt>
                <c:pt idx="3">
                  <c:v>2015</c:v>
                </c:pt>
                <c:pt idx="4">
                  <c:v>2017</c:v>
                </c:pt>
                <c:pt idx="5">
                  <c:v>2019</c:v>
                </c:pt>
                <c:pt idx="6">
                  <c:v>2021</c:v>
                </c:pt>
              </c:numCache>
            </c:numRef>
          </c:cat>
          <c:val>
            <c:numRef>
              <c:f>'Table 6-3'!$AL$7:$AR$7</c:f>
              <c:numCache>
                <c:formatCode>#,##0</c:formatCode>
                <c:ptCount val="7"/>
                <c:pt idx="0">
                  <c:v>1271000</c:v>
                </c:pt>
                <c:pt idx="1">
                  <c:v>1500000</c:v>
                </c:pt>
                <c:pt idx="2">
                  <c:v>1551000</c:v>
                </c:pt>
                <c:pt idx="3">
                  <c:v>1641000</c:v>
                </c:pt>
                <c:pt idx="4">
                  <c:v>1796000</c:v>
                </c:pt>
                <c:pt idx="5">
                  <c:v>2090000</c:v>
                </c:pt>
                <c:pt idx="6">
                  <c:v>2141000</c:v>
                </c:pt>
              </c:numCache>
            </c:numRef>
          </c:val>
          <c:extLst>
            <c:ext xmlns:c16="http://schemas.microsoft.com/office/drawing/2014/chart" uri="{C3380CC4-5D6E-409C-BE32-E72D297353CC}">
              <c16:uniqueId val="{00000003-EC10-4054-95A0-2EC45BEFFDA6}"/>
            </c:ext>
          </c:extLst>
        </c:ser>
        <c:dLbls>
          <c:showLegendKey val="0"/>
          <c:showVal val="0"/>
          <c:showCatName val="0"/>
          <c:showSerName val="0"/>
          <c:showPercent val="0"/>
          <c:showBubbleSize val="0"/>
        </c:dLbls>
        <c:gapWidth val="100"/>
        <c:overlap val="-24"/>
        <c:axId val="13702079"/>
        <c:axId val="13699199"/>
      </c:barChart>
      <c:catAx>
        <c:axId val="13702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9199"/>
        <c:crosses val="autoZero"/>
        <c:auto val="1"/>
        <c:lblAlgn val="ctr"/>
        <c:lblOffset val="100"/>
        <c:noMultiLvlLbl val="0"/>
      </c:catAx>
      <c:valAx>
        <c:axId val="13699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0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Females and Educational Levels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'Table 6-3'!$AK$29</c:f>
              <c:strCache>
                <c:ptCount val="1"/>
                <c:pt idx="0">
                  <c:v>All Females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6-3'!$AL$29:$AR$29</c:f>
              <c:numCache>
                <c:formatCode>#,##0</c:formatCode>
                <c:ptCount val="7"/>
                <c:pt idx="0">
                  <c:v>15111000</c:v>
                </c:pt>
                <c:pt idx="1">
                  <c:v>19978000</c:v>
                </c:pt>
                <c:pt idx="2">
                  <c:v>22052000</c:v>
                </c:pt>
                <c:pt idx="3">
                  <c:v>23218000</c:v>
                </c:pt>
                <c:pt idx="4">
                  <c:v>24900000</c:v>
                </c:pt>
                <c:pt idx="5">
                  <c:v>26341000</c:v>
                </c:pt>
                <c:pt idx="6">
                  <c:v>26493000</c:v>
                </c:pt>
              </c:numCache>
            </c:numRef>
          </c:val>
          <c:extLst>
            <c:ext xmlns:c16="http://schemas.microsoft.com/office/drawing/2014/chart" uri="{C3380CC4-5D6E-409C-BE32-E72D297353CC}">
              <c16:uniqueId val="{00000001-13EA-428D-BD75-1A27F0C6B639}"/>
            </c:ext>
          </c:extLst>
        </c:ser>
        <c:ser>
          <c:idx val="2"/>
          <c:order val="2"/>
          <c:tx>
            <c:strRef>
              <c:f>'Table 6-3'!$AK$30</c:f>
              <c:strCache>
                <c:ptCount val="1"/>
                <c:pt idx="0">
                  <c:v>Bachelor's, Female</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6-3'!$AL$30:$AR$30</c:f>
              <c:numCache>
                <c:formatCode>#,##0</c:formatCode>
                <c:ptCount val="7"/>
                <c:pt idx="0">
                  <c:v>9522000</c:v>
                </c:pt>
                <c:pt idx="1">
                  <c:v>12592000</c:v>
                </c:pt>
                <c:pt idx="2">
                  <c:v>13904000</c:v>
                </c:pt>
                <c:pt idx="3">
                  <c:v>14206000</c:v>
                </c:pt>
                <c:pt idx="4">
                  <c:v>15524000</c:v>
                </c:pt>
                <c:pt idx="5">
                  <c:v>16021000</c:v>
                </c:pt>
                <c:pt idx="6">
                  <c:v>15827000</c:v>
                </c:pt>
              </c:numCache>
            </c:numRef>
          </c:val>
          <c:extLst>
            <c:ext xmlns:c16="http://schemas.microsoft.com/office/drawing/2014/chart" uri="{C3380CC4-5D6E-409C-BE32-E72D297353CC}">
              <c16:uniqueId val="{00000002-13EA-428D-BD75-1A27F0C6B639}"/>
            </c:ext>
          </c:extLst>
        </c:ser>
        <c:ser>
          <c:idx val="3"/>
          <c:order val="3"/>
          <c:tx>
            <c:strRef>
              <c:f>'Table 6-3'!$AK$31</c:f>
              <c:strCache>
                <c:ptCount val="1"/>
                <c:pt idx="0">
                  <c:v>Master's, Female</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6-3'!$AL$31:$AR$31</c:f>
              <c:numCache>
                <c:formatCode>#,##0</c:formatCode>
                <c:ptCount val="7"/>
                <c:pt idx="0">
                  <c:v>4431000</c:v>
                </c:pt>
                <c:pt idx="1">
                  <c:v>5838000</c:v>
                </c:pt>
                <c:pt idx="2">
                  <c:v>6479000</c:v>
                </c:pt>
                <c:pt idx="3">
                  <c:v>7196000</c:v>
                </c:pt>
                <c:pt idx="4">
                  <c:v>7359000</c:v>
                </c:pt>
                <c:pt idx="5">
                  <c:v>8141000</c:v>
                </c:pt>
                <c:pt idx="6">
                  <c:v>8314000</c:v>
                </c:pt>
              </c:numCache>
            </c:numRef>
          </c:val>
          <c:extLst>
            <c:ext xmlns:c16="http://schemas.microsoft.com/office/drawing/2014/chart" uri="{C3380CC4-5D6E-409C-BE32-E72D297353CC}">
              <c16:uniqueId val="{00000003-13EA-428D-BD75-1A27F0C6B639}"/>
            </c:ext>
          </c:extLst>
        </c:ser>
        <c:ser>
          <c:idx val="4"/>
          <c:order val="4"/>
          <c:tx>
            <c:strRef>
              <c:f>'Table 6-3'!$AK$32</c:f>
              <c:strCache>
                <c:ptCount val="1"/>
                <c:pt idx="0">
                  <c:v>Doctorate, Female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6-3'!$AL$28:$AR$28</c:f>
              <c:numCache>
                <c:formatCode>0</c:formatCode>
                <c:ptCount val="7"/>
                <c:pt idx="0">
                  <c:v>2003</c:v>
                </c:pt>
                <c:pt idx="1">
                  <c:v>2010</c:v>
                </c:pt>
                <c:pt idx="2">
                  <c:v>2013</c:v>
                </c:pt>
                <c:pt idx="3">
                  <c:v>2015</c:v>
                </c:pt>
                <c:pt idx="4">
                  <c:v>2017</c:v>
                </c:pt>
                <c:pt idx="5">
                  <c:v>2019</c:v>
                </c:pt>
                <c:pt idx="6">
                  <c:v>2021</c:v>
                </c:pt>
              </c:numCache>
            </c:numRef>
          </c:cat>
          <c:val>
            <c:numRef>
              <c:f>'Table 6-3'!$AL$32:$AR$32</c:f>
              <c:numCache>
                <c:formatCode>#,##0</c:formatCode>
                <c:ptCount val="7"/>
                <c:pt idx="0">
                  <c:v>422000</c:v>
                </c:pt>
                <c:pt idx="1">
                  <c:v>521000</c:v>
                </c:pt>
                <c:pt idx="2">
                  <c:v>597000</c:v>
                </c:pt>
                <c:pt idx="3">
                  <c:v>646000</c:v>
                </c:pt>
                <c:pt idx="4">
                  <c:v>734000</c:v>
                </c:pt>
                <c:pt idx="5">
                  <c:v>900000</c:v>
                </c:pt>
                <c:pt idx="6">
                  <c:v>887000</c:v>
                </c:pt>
              </c:numCache>
            </c:numRef>
          </c:val>
          <c:extLst>
            <c:ext xmlns:c16="http://schemas.microsoft.com/office/drawing/2014/chart" uri="{C3380CC4-5D6E-409C-BE32-E72D297353CC}">
              <c16:uniqueId val="{00000004-13EA-428D-BD75-1A27F0C6B639}"/>
            </c:ext>
          </c:extLst>
        </c:ser>
        <c:dLbls>
          <c:showLegendKey val="0"/>
          <c:showVal val="0"/>
          <c:showCatName val="0"/>
          <c:showSerName val="0"/>
          <c:showPercent val="0"/>
          <c:showBubbleSize val="0"/>
        </c:dLbls>
        <c:gapWidth val="100"/>
        <c:overlap val="-24"/>
        <c:axId val="2041344352"/>
        <c:axId val="2041330912"/>
        <c:extLst>
          <c:ext xmlns:c15="http://schemas.microsoft.com/office/drawing/2012/chart" uri="{02D57815-91ED-43cb-92C2-25804820EDAC}">
            <c15:filteredBarSeries>
              <c15:ser>
                <c:idx val="0"/>
                <c:order val="0"/>
                <c:tx>
                  <c:strRef>
                    <c:extLst>
                      <c:ext uri="{02D57815-91ED-43cb-92C2-25804820EDAC}">
                        <c15:formulaRef>
                          <c15:sqref>'Table 6-3'!$AK$28</c15:sqref>
                        </c15:formulaRef>
                      </c:ext>
                    </c:extLst>
                    <c:strCache>
                      <c:ptCount val="1"/>
                      <c:pt idx="0">
                        <c:v>Sex, level of highest degree, and occupation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'Table 6-3'!$AL$28:$AR$28</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6-3'!$AL$28:$AR$28</c15:sqref>
                        </c15:formulaRef>
                      </c:ext>
                    </c:extLst>
                    <c:numCache>
                      <c:formatCode>0</c:formatCode>
                      <c:ptCount val="7"/>
                      <c:pt idx="0">
                        <c:v>2003</c:v>
                      </c:pt>
                      <c:pt idx="1">
                        <c:v>2010</c:v>
                      </c:pt>
                      <c:pt idx="2">
                        <c:v>2013</c:v>
                      </c:pt>
                      <c:pt idx="3">
                        <c:v>2015</c:v>
                      </c:pt>
                      <c:pt idx="4">
                        <c:v>2017</c:v>
                      </c:pt>
                      <c:pt idx="5">
                        <c:v>2019</c:v>
                      </c:pt>
                      <c:pt idx="6">
                        <c:v>2021</c:v>
                      </c:pt>
                    </c:numCache>
                  </c:numRef>
                </c:val>
                <c:extLst>
                  <c:ext xmlns:c16="http://schemas.microsoft.com/office/drawing/2014/chart" uri="{C3380CC4-5D6E-409C-BE32-E72D297353CC}">
                    <c16:uniqueId val="{00000000-13EA-428D-BD75-1A27F0C6B639}"/>
                  </c:ext>
                </c:extLst>
              </c15:ser>
            </c15:filteredBarSeries>
          </c:ext>
        </c:extLst>
      </c:barChart>
      <c:catAx>
        <c:axId val="204134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330912"/>
        <c:crosses val="autoZero"/>
        <c:auto val="1"/>
        <c:lblAlgn val="ctr"/>
        <c:lblOffset val="100"/>
        <c:noMultiLvlLbl val="0"/>
      </c:catAx>
      <c:valAx>
        <c:axId val="204133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3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Males and Educational Levels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'Table 6-3'!$AT$4</c:f>
              <c:strCache>
                <c:ptCount val="1"/>
                <c:pt idx="0">
                  <c:v>All Males</c:v>
                </c:pt>
              </c:strCache>
            </c:strRef>
          </c:tx>
          <c:spPr>
            <a:solidFill>
              <a:schemeClr val="bg1">
                <a:lumMod val="85000"/>
              </a:schemeClr>
            </a:solidFill>
            <a:ln>
              <a:solidFill>
                <a:schemeClr val="bg1">
                  <a:lumMod val="8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6-3'!$AU$4:$BA$4</c:f>
              <c:numCache>
                <c:formatCode>#,##0</c:formatCode>
                <c:ptCount val="7"/>
                <c:pt idx="0">
                  <c:v>17463000</c:v>
                </c:pt>
                <c:pt idx="1">
                  <c:v>20644000</c:v>
                </c:pt>
                <c:pt idx="2">
                  <c:v>21787000</c:v>
                </c:pt>
                <c:pt idx="3">
                  <c:v>22723000</c:v>
                </c:pt>
                <c:pt idx="4">
                  <c:v>23323000</c:v>
                </c:pt>
                <c:pt idx="5">
                  <c:v>24183000</c:v>
                </c:pt>
                <c:pt idx="6">
                  <c:v>25271000</c:v>
                </c:pt>
              </c:numCache>
            </c:numRef>
          </c:val>
          <c:extLst>
            <c:ext xmlns:c16="http://schemas.microsoft.com/office/drawing/2014/chart" uri="{C3380CC4-5D6E-409C-BE32-E72D297353CC}">
              <c16:uniqueId val="{00000001-1163-4B7B-A610-5A289749AE42}"/>
            </c:ext>
          </c:extLst>
        </c:ser>
        <c:ser>
          <c:idx val="2"/>
          <c:order val="2"/>
          <c:tx>
            <c:strRef>
              <c:f>'Table 6-3'!$AT$5</c:f>
              <c:strCache>
                <c:ptCount val="1"/>
                <c:pt idx="0">
                  <c:v>Bachelor's, Male</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6-3'!$AU$5:$BA$5</c:f>
              <c:numCache>
                <c:formatCode>#,##0</c:formatCode>
                <c:ptCount val="7"/>
                <c:pt idx="0">
                  <c:v>10843000</c:v>
                </c:pt>
                <c:pt idx="1">
                  <c:v>12761000</c:v>
                </c:pt>
                <c:pt idx="2">
                  <c:v>13898000</c:v>
                </c:pt>
                <c:pt idx="3">
                  <c:v>14303000</c:v>
                </c:pt>
                <c:pt idx="4">
                  <c:v>14606000</c:v>
                </c:pt>
                <c:pt idx="5">
                  <c:v>15353000</c:v>
                </c:pt>
                <c:pt idx="6">
                  <c:v>15861000</c:v>
                </c:pt>
              </c:numCache>
            </c:numRef>
          </c:val>
          <c:extLst>
            <c:ext xmlns:c16="http://schemas.microsoft.com/office/drawing/2014/chart" uri="{C3380CC4-5D6E-409C-BE32-E72D297353CC}">
              <c16:uniqueId val="{00000002-1163-4B7B-A610-5A289749AE42}"/>
            </c:ext>
          </c:extLst>
        </c:ser>
        <c:ser>
          <c:idx val="3"/>
          <c:order val="3"/>
          <c:tx>
            <c:strRef>
              <c:f>'Table 6-3'!$AT$6</c:f>
              <c:strCache>
                <c:ptCount val="1"/>
                <c:pt idx="0">
                  <c:v>Master's, Male</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6-3'!$AU$6:$BA$6</c:f>
              <c:numCache>
                <c:formatCode>#,##0</c:formatCode>
                <c:ptCount val="7"/>
                <c:pt idx="0">
                  <c:v>4247000</c:v>
                </c:pt>
                <c:pt idx="1">
                  <c:v>5280000</c:v>
                </c:pt>
                <c:pt idx="2">
                  <c:v>5249000</c:v>
                </c:pt>
                <c:pt idx="3">
                  <c:v>5692000</c:v>
                </c:pt>
                <c:pt idx="4">
                  <c:v>5901000</c:v>
                </c:pt>
                <c:pt idx="5">
                  <c:v>6017000</c:v>
                </c:pt>
                <c:pt idx="6">
                  <c:v>6375000</c:v>
                </c:pt>
              </c:numCache>
            </c:numRef>
          </c:val>
          <c:extLst>
            <c:ext xmlns:c16="http://schemas.microsoft.com/office/drawing/2014/chart" uri="{C3380CC4-5D6E-409C-BE32-E72D297353CC}">
              <c16:uniqueId val="{00000003-1163-4B7B-A610-5A289749AE42}"/>
            </c:ext>
          </c:extLst>
        </c:ser>
        <c:ser>
          <c:idx val="4"/>
          <c:order val="4"/>
          <c:tx>
            <c:strRef>
              <c:f>'Table 6-3'!$AT$7</c:f>
              <c:strCache>
                <c:ptCount val="1"/>
                <c:pt idx="0">
                  <c:v>Doctorate, Male</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'Table 6-3'!$AU$3:$BA$3</c:f>
              <c:numCache>
                <c:formatCode>0</c:formatCode>
                <c:ptCount val="7"/>
                <c:pt idx="0">
                  <c:v>2003</c:v>
                </c:pt>
                <c:pt idx="1">
                  <c:v>2010</c:v>
                </c:pt>
                <c:pt idx="2">
                  <c:v>2013</c:v>
                </c:pt>
                <c:pt idx="3">
                  <c:v>2015</c:v>
                </c:pt>
                <c:pt idx="4">
                  <c:v>2017</c:v>
                </c:pt>
                <c:pt idx="5">
                  <c:v>2019</c:v>
                </c:pt>
                <c:pt idx="6">
                  <c:v>2021</c:v>
                </c:pt>
              </c:numCache>
            </c:numRef>
          </c:cat>
          <c:val>
            <c:numRef>
              <c:f>'Table 6-3'!$AU$7:$BA$7</c:f>
              <c:numCache>
                <c:formatCode>#,##0</c:formatCode>
                <c:ptCount val="7"/>
                <c:pt idx="0">
                  <c:v>849000</c:v>
                </c:pt>
                <c:pt idx="1">
                  <c:v>979000</c:v>
                </c:pt>
                <c:pt idx="2">
                  <c:v>954000</c:v>
                </c:pt>
                <c:pt idx="3">
                  <c:v>996000</c:v>
                </c:pt>
                <c:pt idx="4">
                  <c:v>1062000</c:v>
                </c:pt>
                <c:pt idx="5">
                  <c:v>1190000</c:v>
                </c:pt>
                <c:pt idx="6">
                  <c:v>1254000</c:v>
                </c:pt>
              </c:numCache>
            </c:numRef>
          </c:val>
          <c:extLst>
            <c:ext xmlns:c16="http://schemas.microsoft.com/office/drawing/2014/chart" uri="{C3380CC4-5D6E-409C-BE32-E72D297353CC}">
              <c16:uniqueId val="{00000004-1163-4B7B-A610-5A289749AE42}"/>
            </c:ext>
          </c:extLst>
        </c:ser>
        <c:dLbls>
          <c:showLegendKey val="0"/>
          <c:showVal val="0"/>
          <c:showCatName val="0"/>
          <c:showSerName val="0"/>
          <c:showPercent val="0"/>
          <c:showBubbleSize val="0"/>
        </c:dLbls>
        <c:gapWidth val="100"/>
        <c:overlap val="-24"/>
        <c:axId val="2144471136"/>
        <c:axId val="2144471616"/>
        <c:extLst>
          <c:ext xmlns:c15="http://schemas.microsoft.com/office/drawing/2012/chart" uri="{02D57815-91ED-43cb-92C2-25804820EDAC}">
            <c15:filteredBarSeries>
              <c15:ser>
                <c:idx val="0"/>
                <c:order val="0"/>
                <c:tx>
                  <c:strRef>
                    <c:extLst>
                      <c:ext uri="{02D57815-91ED-43cb-92C2-25804820EDAC}">
                        <c15:formulaRef>
                          <c15:sqref>'Table 6-3'!$AT$3</c15:sqref>
                        </c15:formulaRef>
                      </c:ext>
                    </c:extLst>
                    <c:strCache>
                      <c:ptCount val="1"/>
                      <c:pt idx="0">
                        <c:v>Sex, level of highest degree, and occupation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'Table 6-3'!$AU$3:$BA$3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6-3'!$AU$3:$BA$3</c15:sqref>
                        </c15:formulaRef>
                      </c:ext>
                    </c:extLst>
                    <c:numCache>
                      <c:formatCode>0</c:formatCode>
                      <c:ptCount val="7"/>
                      <c:pt idx="0">
                        <c:v>2003</c:v>
                      </c:pt>
                      <c:pt idx="1">
                        <c:v>2010</c:v>
                      </c:pt>
                      <c:pt idx="2">
                        <c:v>2013</c:v>
                      </c:pt>
                      <c:pt idx="3">
                        <c:v>2015</c:v>
                      </c:pt>
                      <c:pt idx="4">
                        <c:v>2017</c:v>
                      </c:pt>
                      <c:pt idx="5">
                        <c:v>2019</c:v>
                      </c:pt>
                      <c:pt idx="6">
                        <c:v>2021</c:v>
                      </c:pt>
                    </c:numCache>
                  </c:numRef>
                </c:val>
                <c:extLst>
                  <c:ext xmlns:c16="http://schemas.microsoft.com/office/drawing/2014/chart" uri="{C3380CC4-5D6E-409C-BE32-E72D297353CC}">
                    <c16:uniqueId val="{00000000-1163-4B7B-A610-5A289749AE42}"/>
                  </c:ext>
                </c:extLst>
              </c15:ser>
            </c15:filteredBarSeries>
          </c:ext>
        </c:extLst>
      </c:barChart>
      <c:catAx>
        <c:axId val="214447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471616"/>
        <c:crosses val="autoZero"/>
        <c:auto val="1"/>
        <c:lblAlgn val="ctr"/>
        <c:lblOffset val="100"/>
        <c:noMultiLvlLbl val="0"/>
      </c:catAx>
      <c:valAx>
        <c:axId val="2144471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447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Gender and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6-3'!$AU$29</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6-3'!$AU$30:$AU$41</c15:sqref>
                  </c15:fullRef>
                </c:ext>
              </c:extLst>
              <c:f>('Table 6-3'!$AU$31:$AU$33,'Table 6-3'!$AU$35:$AU$37,'Table 6-3'!$AU$39:$AU$41)</c:f>
              <c:numCache>
                <c:formatCode>#,##0</c:formatCode>
                <c:ptCount val="9"/>
                <c:pt idx="0">
                  <c:v>20365000</c:v>
                </c:pt>
                <c:pt idx="1">
                  <c:v>8677000</c:v>
                </c:pt>
                <c:pt idx="2">
                  <c:v>1271000</c:v>
                </c:pt>
                <c:pt idx="3">
                  <c:v>9522000</c:v>
                </c:pt>
                <c:pt idx="4">
                  <c:v>4431000</c:v>
                </c:pt>
                <c:pt idx="5">
                  <c:v>422000</c:v>
                </c:pt>
                <c:pt idx="6">
                  <c:v>10843000</c:v>
                </c:pt>
                <c:pt idx="7">
                  <c:v>4247000</c:v>
                </c:pt>
                <c:pt idx="8">
                  <c:v>849000</c:v>
                </c:pt>
              </c:numCache>
            </c:numRef>
          </c:val>
          <c:extLst>
            <c:ext xmlns:c16="http://schemas.microsoft.com/office/drawing/2014/chart" uri="{C3380CC4-5D6E-409C-BE32-E72D297353CC}">
              <c16:uniqueId val="{00000000-A3A9-4850-8967-51B6D23BC680}"/>
            </c:ext>
          </c:extLst>
        </c:ser>
        <c:ser>
          <c:idx val="1"/>
          <c:order val="1"/>
          <c:tx>
            <c:strRef>
              <c:f>'Table 6-3'!$AV$29</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6-3'!$AV$30:$AV$41</c15:sqref>
                  </c15:fullRef>
                </c:ext>
              </c:extLst>
              <c:f>('Table 6-3'!$AV$31:$AV$33,'Table 6-3'!$AV$35:$AV$37,'Table 6-3'!$AV$39:$AV$41)</c:f>
              <c:numCache>
                <c:formatCode>#,##0</c:formatCode>
                <c:ptCount val="9"/>
                <c:pt idx="0">
                  <c:v>25354000</c:v>
                </c:pt>
                <c:pt idx="1">
                  <c:v>11118000</c:v>
                </c:pt>
                <c:pt idx="2">
                  <c:v>1500000</c:v>
                </c:pt>
                <c:pt idx="3">
                  <c:v>12592000</c:v>
                </c:pt>
                <c:pt idx="4">
                  <c:v>5838000</c:v>
                </c:pt>
                <c:pt idx="5">
                  <c:v>521000</c:v>
                </c:pt>
                <c:pt idx="6">
                  <c:v>12761000</c:v>
                </c:pt>
                <c:pt idx="7">
                  <c:v>5280000</c:v>
                </c:pt>
                <c:pt idx="8">
                  <c:v>979000</c:v>
                </c:pt>
              </c:numCache>
            </c:numRef>
          </c:val>
          <c:extLst>
            <c:ext xmlns:c16="http://schemas.microsoft.com/office/drawing/2014/chart" uri="{C3380CC4-5D6E-409C-BE32-E72D297353CC}">
              <c16:uniqueId val="{00000001-A3A9-4850-8967-51B6D23BC680}"/>
            </c:ext>
          </c:extLst>
        </c:ser>
        <c:ser>
          <c:idx val="2"/>
          <c:order val="2"/>
          <c:tx>
            <c:strRef>
              <c:f>'Table 6-3'!$AW$29</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6-3'!$AW$30:$AW$41</c15:sqref>
                  </c15:fullRef>
                </c:ext>
              </c:extLst>
              <c:f>('Table 6-3'!$AW$31:$AW$33,'Table 6-3'!$AW$35:$AW$37,'Table 6-3'!$AW$39:$AW$41)</c:f>
              <c:numCache>
                <c:formatCode>#,##0</c:formatCode>
                <c:ptCount val="9"/>
                <c:pt idx="0">
                  <c:v>27802000</c:v>
                </c:pt>
                <c:pt idx="1">
                  <c:v>11728000</c:v>
                </c:pt>
                <c:pt idx="2">
                  <c:v>1551000</c:v>
                </c:pt>
                <c:pt idx="3">
                  <c:v>13904000</c:v>
                </c:pt>
                <c:pt idx="4">
                  <c:v>6479000</c:v>
                </c:pt>
                <c:pt idx="5">
                  <c:v>597000</c:v>
                </c:pt>
                <c:pt idx="6">
                  <c:v>13898000</c:v>
                </c:pt>
                <c:pt idx="7">
                  <c:v>5249000</c:v>
                </c:pt>
                <c:pt idx="8">
                  <c:v>954000</c:v>
                </c:pt>
              </c:numCache>
            </c:numRef>
          </c:val>
          <c:extLst>
            <c:ext xmlns:c16="http://schemas.microsoft.com/office/drawing/2014/chart" uri="{C3380CC4-5D6E-409C-BE32-E72D297353CC}">
              <c16:uniqueId val="{00000002-A3A9-4850-8967-51B6D23BC680}"/>
            </c:ext>
          </c:extLst>
        </c:ser>
        <c:ser>
          <c:idx val="3"/>
          <c:order val="3"/>
          <c:tx>
            <c:strRef>
              <c:f>'Table 6-3'!$AX$29</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6-3'!$AX$30:$AX$41</c15:sqref>
                  </c15:fullRef>
                </c:ext>
              </c:extLst>
              <c:f>('Table 6-3'!$AX$31:$AX$33,'Table 6-3'!$AX$35:$AX$37,'Table 6-3'!$AX$39:$AX$41)</c:f>
              <c:numCache>
                <c:formatCode>#,##0</c:formatCode>
                <c:ptCount val="9"/>
                <c:pt idx="0">
                  <c:v>28509000</c:v>
                </c:pt>
                <c:pt idx="1">
                  <c:v>12888000</c:v>
                </c:pt>
                <c:pt idx="2">
                  <c:v>1641000</c:v>
                </c:pt>
                <c:pt idx="3">
                  <c:v>14206000</c:v>
                </c:pt>
                <c:pt idx="4">
                  <c:v>7196000</c:v>
                </c:pt>
                <c:pt idx="5">
                  <c:v>646000</c:v>
                </c:pt>
                <c:pt idx="6">
                  <c:v>14303000</c:v>
                </c:pt>
                <c:pt idx="7">
                  <c:v>5692000</c:v>
                </c:pt>
                <c:pt idx="8">
                  <c:v>996000</c:v>
                </c:pt>
              </c:numCache>
            </c:numRef>
          </c:val>
          <c:extLst>
            <c:ext xmlns:c16="http://schemas.microsoft.com/office/drawing/2014/chart" uri="{C3380CC4-5D6E-409C-BE32-E72D297353CC}">
              <c16:uniqueId val="{00000003-A3A9-4850-8967-51B6D23BC680}"/>
            </c:ext>
          </c:extLst>
        </c:ser>
        <c:ser>
          <c:idx val="4"/>
          <c:order val="4"/>
          <c:tx>
            <c:strRef>
              <c:f>'Table 6-3'!$AY$29</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6-3'!$AY$30:$AY$41</c15:sqref>
                  </c15:fullRef>
                </c:ext>
              </c:extLst>
              <c:f>('Table 6-3'!$AY$31:$AY$33,'Table 6-3'!$AY$35:$AY$37,'Table 6-3'!$AY$39:$AY$41)</c:f>
              <c:numCache>
                <c:formatCode>#,##0</c:formatCode>
                <c:ptCount val="9"/>
                <c:pt idx="0">
                  <c:v>30131000</c:v>
                </c:pt>
                <c:pt idx="1">
                  <c:v>13260000</c:v>
                </c:pt>
                <c:pt idx="2">
                  <c:v>1796000</c:v>
                </c:pt>
                <c:pt idx="3">
                  <c:v>15524000</c:v>
                </c:pt>
                <c:pt idx="4">
                  <c:v>7359000</c:v>
                </c:pt>
                <c:pt idx="5">
                  <c:v>734000</c:v>
                </c:pt>
                <c:pt idx="6">
                  <c:v>14606000</c:v>
                </c:pt>
                <c:pt idx="7">
                  <c:v>5901000</c:v>
                </c:pt>
                <c:pt idx="8">
                  <c:v>1062000</c:v>
                </c:pt>
              </c:numCache>
            </c:numRef>
          </c:val>
          <c:extLst>
            <c:ext xmlns:c16="http://schemas.microsoft.com/office/drawing/2014/chart" uri="{C3380CC4-5D6E-409C-BE32-E72D297353CC}">
              <c16:uniqueId val="{00000004-A3A9-4850-8967-51B6D23BC680}"/>
            </c:ext>
          </c:extLst>
        </c:ser>
        <c:ser>
          <c:idx val="5"/>
          <c:order val="5"/>
          <c:tx>
            <c:strRef>
              <c:f>'Table 6-3'!$AZ$29</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6-3'!$AZ$30:$AZ$41</c15:sqref>
                  </c15:fullRef>
                </c:ext>
              </c:extLst>
              <c:f>('Table 6-3'!$AZ$31:$AZ$33,'Table 6-3'!$AZ$35:$AZ$37,'Table 6-3'!$AZ$39:$AZ$41)</c:f>
              <c:numCache>
                <c:formatCode>#,##0</c:formatCode>
                <c:ptCount val="9"/>
                <c:pt idx="0">
                  <c:v>31373000</c:v>
                </c:pt>
                <c:pt idx="1">
                  <c:v>14158000</c:v>
                </c:pt>
                <c:pt idx="2">
                  <c:v>2090000</c:v>
                </c:pt>
                <c:pt idx="3">
                  <c:v>16021000</c:v>
                </c:pt>
                <c:pt idx="4">
                  <c:v>8141000</c:v>
                </c:pt>
                <c:pt idx="5">
                  <c:v>900000</c:v>
                </c:pt>
                <c:pt idx="6">
                  <c:v>15353000</c:v>
                </c:pt>
                <c:pt idx="7">
                  <c:v>6017000</c:v>
                </c:pt>
                <c:pt idx="8">
                  <c:v>1190000</c:v>
                </c:pt>
              </c:numCache>
            </c:numRef>
          </c:val>
          <c:extLst>
            <c:ext xmlns:c16="http://schemas.microsoft.com/office/drawing/2014/chart" uri="{C3380CC4-5D6E-409C-BE32-E72D297353CC}">
              <c16:uniqueId val="{00000005-A3A9-4850-8967-51B6D23BC680}"/>
            </c:ext>
          </c:extLst>
        </c:ser>
        <c:ser>
          <c:idx val="6"/>
          <c:order val="6"/>
          <c:tx>
            <c:strRef>
              <c:f>'Table 6-3'!$BA$29</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6-3'!$AT$30:$AT$41</c15:sqref>
                  </c15:fullRef>
                </c:ext>
              </c:extLst>
              <c:f>('Table 6-3'!$AT$31:$AT$33,'Table 6-3'!$AT$35:$AT$37,'Table 6-3'!$AT$39:$AT$41)</c:f>
              <c:strCache>
                <c:ptCount val="9"/>
                <c:pt idx="0">
                  <c:v>Bachelor's</c:v>
                </c:pt>
                <c:pt idx="1">
                  <c:v>Master's</c:v>
                </c:pt>
                <c:pt idx="2">
                  <c:v>Doctorate</c:v>
                </c:pt>
                <c:pt idx="3">
                  <c:v>Bachelor's, Female</c:v>
                </c:pt>
                <c:pt idx="4">
                  <c:v>Master's, Female</c:v>
                </c:pt>
                <c:pt idx="5">
                  <c:v>Doctorate, Female</c:v>
                </c:pt>
                <c:pt idx="6">
                  <c:v>Bachelor's, Male</c:v>
                </c:pt>
                <c:pt idx="7">
                  <c:v>Master's, Male</c:v>
                </c:pt>
                <c:pt idx="8">
                  <c:v>Doctorate, Male</c:v>
                </c:pt>
              </c:strCache>
            </c:strRef>
          </c:cat>
          <c:val>
            <c:numRef>
              <c:extLst>
                <c:ext xmlns:c15="http://schemas.microsoft.com/office/drawing/2012/chart" uri="{02D57815-91ED-43cb-92C2-25804820EDAC}">
                  <c15:fullRef>
                    <c15:sqref>'Table 6-3'!$BA$30:$BA$41</c15:sqref>
                  </c15:fullRef>
                </c:ext>
              </c:extLst>
              <c:f>('Table 6-3'!$BA$31:$BA$33,'Table 6-3'!$BA$35:$BA$37,'Table 6-3'!$BA$39:$BA$41)</c:f>
              <c:numCache>
                <c:formatCode>#,##0</c:formatCode>
                <c:ptCount val="9"/>
                <c:pt idx="0">
                  <c:v>31688000</c:v>
                </c:pt>
                <c:pt idx="1">
                  <c:v>14688000</c:v>
                </c:pt>
                <c:pt idx="2">
                  <c:v>2141000</c:v>
                </c:pt>
                <c:pt idx="3">
                  <c:v>15827000</c:v>
                </c:pt>
                <c:pt idx="4">
                  <c:v>8314000</c:v>
                </c:pt>
                <c:pt idx="5">
                  <c:v>887000</c:v>
                </c:pt>
                <c:pt idx="6">
                  <c:v>15861000</c:v>
                </c:pt>
                <c:pt idx="7">
                  <c:v>6375000</c:v>
                </c:pt>
                <c:pt idx="8">
                  <c:v>1254000</c:v>
                </c:pt>
              </c:numCache>
            </c:numRef>
          </c:val>
          <c:extLst>
            <c:ext xmlns:c16="http://schemas.microsoft.com/office/drawing/2014/chart" uri="{C3380CC4-5D6E-409C-BE32-E72D297353CC}">
              <c16:uniqueId val="{00000006-A3A9-4850-8967-51B6D23BC680}"/>
            </c:ext>
          </c:extLst>
        </c:ser>
        <c:dLbls>
          <c:showLegendKey val="0"/>
          <c:showVal val="0"/>
          <c:showCatName val="0"/>
          <c:showSerName val="0"/>
          <c:showPercent val="0"/>
          <c:showBubbleSize val="0"/>
        </c:dLbls>
        <c:gapWidth val="100"/>
        <c:overlap val="-24"/>
        <c:axId val="22561999"/>
        <c:axId val="22574479"/>
      </c:barChart>
      <c:catAx>
        <c:axId val="22561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74479"/>
        <c:crosses val="autoZero"/>
        <c:auto val="1"/>
        <c:lblAlgn val="ctr"/>
        <c:lblOffset val="100"/>
        <c:noMultiLvlLbl val="0"/>
      </c:catAx>
      <c:valAx>
        <c:axId val="2257447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6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layout>
                <c:manualLayout>
                  <c:x val="3.2174103237095361E-3"/>
                  <c:y val="-4.41203703703703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6-3'!$J$4:$P$4</c:f>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496A-415A-8C5F-B0D25A123F55}"/>
            </c:ext>
          </c:extLst>
        </c:ser>
        <c:dLbls>
          <c:showLegendKey val="0"/>
          <c:showVal val="0"/>
          <c:showCatName val="0"/>
          <c:showSerName val="0"/>
          <c:showPercent val="0"/>
          <c:showBubbleSize val="0"/>
        </c:dLbls>
        <c:smooth val="0"/>
        <c:axId val="578798144"/>
        <c:axId val="578798624"/>
      </c:lineChart>
      <c:catAx>
        <c:axId val="578798144"/>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8624"/>
        <c:crosses val="autoZero"/>
        <c:auto val="1"/>
        <c:lblAlgn val="ctr"/>
        <c:lblOffset val="100"/>
        <c:noMultiLvlLbl val="0"/>
      </c:catAx>
      <c:valAx>
        <c:axId val="578798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Financial Data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'BCA Visualization'!$D$1:$D$2</c:f>
              <c:strCache>
                <c:ptCount val="2"/>
                <c:pt idx="0">
                  <c:v>All</c:v>
                </c:pt>
                <c:pt idx="1">
                  <c:v>Financial</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Visualization'!$D$3:$D$8</c15:sqref>
                  </c15:fullRef>
                </c:ext>
              </c:extLst>
              <c:f>('BCA Visualization'!$D$3,'BCA Visualization'!$D$5:$D$7)</c:f>
              <c:numCache>
                <c:formatCode>General</c:formatCode>
                <c:ptCount val="4"/>
                <c:pt idx="0" formatCode="&quot;$&quot;#,##0.00">
                  <c:v>31747.408892901396</c:v>
                </c:pt>
                <c:pt idx="1" formatCode="&quot;$&quot;#,##0.00">
                  <c:v>109691.89300969851</c:v>
                </c:pt>
                <c:pt idx="2" formatCode="&quot;$&quot;#,##0.00">
                  <c:v>82554.074833712017</c:v>
                </c:pt>
                <c:pt idx="3" formatCode="&quot;$&quot;#,##0.00">
                  <c:v>27137.818175986496</c:v>
                </c:pt>
              </c:numCache>
            </c:numRef>
          </c:val>
          <c:extLst>
            <c:ext xmlns:c16="http://schemas.microsoft.com/office/drawing/2014/chart" uri="{C3380CC4-5D6E-409C-BE32-E72D297353CC}">
              <c16:uniqueId val="{00000002-266C-4B50-9231-479E7BC3AEFC}"/>
            </c:ext>
          </c:extLst>
        </c:ser>
        <c:ser>
          <c:idx val="7"/>
          <c:order val="7"/>
          <c:tx>
            <c:strRef>
              <c:f>'BCA Visualization'!$I$1:$I$2</c:f>
              <c:strCache>
                <c:ptCount val="2"/>
                <c:pt idx="0">
                  <c:v>Bachelor's</c:v>
                </c:pt>
                <c:pt idx="1">
                  <c:v>Financial</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Visualization'!$I$3:$I$8</c15:sqref>
                  </c15:fullRef>
                </c:ext>
              </c:extLst>
              <c:f>('BCA Visualization'!$I$3,'BCA Visualization'!$I$5:$I$7)</c:f>
              <c:numCache>
                <c:formatCode>General</c:formatCode>
                <c:ptCount val="4"/>
                <c:pt idx="0" formatCode="&quot;$&quot;#,##0.00">
                  <c:v>29833.084851147898</c:v>
                </c:pt>
                <c:pt idx="1" formatCode="&quot;$&quot;#,##0.00">
                  <c:v>118999.00104163017</c:v>
                </c:pt>
                <c:pt idx="2" formatCode="&quot;$&quot;#,##0.00">
                  <c:v>93497.555079523532</c:v>
                </c:pt>
                <c:pt idx="3" formatCode="&quot;$&quot;#,##0.00">
                  <c:v>25501.445962106634</c:v>
                </c:pt>
              </c:numCache>
            </c:numRef>
          </c:val>
          <c:extLst>
            <c:ext xmlns:c16="http://schemas.microsoft.com/office/drawing/2014/chart" uri="{C3380CC4-5D6E-409C-BE32-E72D297353CC}">
              <c16:uniqueId val="{00000007-266C-4B50-9231-479E7BC3AEFC}"/>
            </c:ext>
          </c:extLst>
        </c:ser>
        <c:ser>
          <c:idx val="12"/>
          <c:order val="12"/>
          <c:tx>
            <c:strRef>
              <c:f>'BCA Visualization'!$N$1:$N$2</c:f>
              <c:strCache>
                <c:ptCount val="2"/>
                <c:pt idx="0">
                  <c:v>Master's</c:v>
                </c:pt>
                <c:pt idx="1">
                  <c:v>Financial</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Visualization'!$N$3:$N$8</c15:sqref>
                  </c15:fullRef>
                </c:ext>
              </c:extLst>
              <c:f>('BCA Visualization'!$N$3,'BCA Visualization'!$N$5:$N$7)</c:f>
              <c:numCache>
                <c:formatCode>General</c:formatCode>
                <c:ptCount val="4"/>
                <c:pt idx="0" formatCode="&quot;$&quot;#,##0.00">
                  <c:v>27627.813034576713</c:v>
                </c:pt>
                <c:pt idx="1" formatCode="&quot;$&quot;#,##0.00">
                  <c:v>147457.14216939179</c:v>
                </c:pt>
                <c:pt idx="2" formatCode="&quot;$&quot;#,##0.00">
                  <c:v>123840.77179844995</c:v>
                </c:pt>
                <c:pt idx="3" formatCode="&quot;$&quot;#,##0.00">
                  <c:v>23616.370370941848</c:v>
                </c:pt>
              </c:numCache>
            </c:numRef>
          </c:val>
          <c:extLst>
            <c:ext xmlns:c16="http://schemas.microsoft.com/office/drawing/2014/chart" uri="{C3380CC4-5D6E-409C-BE32-E72D297353CC}">
              <c16:uniqueId val="{0000000C-266C-4B50-9231-479E7BC3AEFC}"/>
            </c:ext>
          </c:extLst>
        </c:ser>
        <c:ser>
          <c:idx val="17"/>
          <c:order val="17"/>
          <c:tx>
            <c:strRef>
              <c:f>'BCA Visualization'!$S$1:$S$2</c:f>
              <c:strCache>
                <c:ptCount val="2"/>
                <c:pt idx="0">
                  <c:v>Doctorate</c:v>
                </c:pt>
                <c:pt idx="1">
                  <c:v>Financial</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Visualization'!$A$3,'BCA Visualization'!$A$5:$A$7)</c:f>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Visualization'!$S$3:$S$8</c15:sqref>
                  </c15:fullRef>
                </c:ext>
              </c:extLst>
              <c:f>('BCA Visualization'!$S$3,'BCA Visualization'!$S$5:$S$7)</c:f>
              <c:numCache>
                <c:formatCode>General</c:formatCode>
                <c:ptCount val="4"/>
                <c:pt idx="0" formatCode="&quot;$&quot;#,##0.00_);[Red]\(&quot;$&quot;#,##0.00\)">
                  <c:v>-36725.488992823171</c:v>
                </c:pt>
                <c:pt idx="1" formatCode="&quot;$&quot;#,##0.00_);[Red]\(&quot;$&quot;#,##0.00\)">
                  <c:v>161134.0092258674</c:v>
                </c:pt>
                <c:pt idx="2" formatCode="&quot;$&quot;#,##0.00_);[Red]\(&quot;$&quot;#,##0.00\)">
                  <c:v>192527.11113454873</c:v>
                </c:pt>
                <c:pt idx="3" formatCode="&quot;$&quot;#,##0.00_);[Red]\(&quot;$&quot;#,##0.00\)">
                  <c:v>-31393.101908681332</c:v>
                </c:pt>
              </c:numCache>
            </c:numRef>
          </c:val>
          <c:extLst>
            <c:ext xmlns:c16="http://schemas.microsoft.com/office/drawing/2014/chart" uri="{C3380CC4-5D6E-409C-BE32-E72D297353CC}">
              <c16:uniqueId val="{00000011-266C-4B50-9231-479E7BC3AEFC}"/>
            </c:ext>
          </c:extLst>
        </c:ser>
        <c:dLbls>
          <c:showLegendKey val="0"/>
          <c:showVal val="0"/>
          <c:showCatName val="0"/>
          <c:showSerName val="0"/>
          <c:showPercent val="0"/>
          <c:showBubbleSize val="0"/>
        </c:dLbls>
        <c:gapWidth val="100"/>
        <c:overlap val="-24"/>
        <c:axId val="366224304"/>
        <c:axId val="366287664"/>
        <c:extLst>
          <c:ext xmlns:c15="http://schemas.microsoft.com/office/drawing/2012/chart" uri="{02D57815-91ED-43cb-92C2-25804820EDAC}">
            <c15:filteredBarSeries>
              <c15:ser>
                <c:idx val="0"/>
                <c:order val="0"/>
                <c:tx>
                  <c:strRef>
                    <c:extLst>
                      <c:ext uri="{02D57815-91ED-43cb-92C2-25804820EDAC}">
                        <c15:formulaRef>
                          <c15:sqref>'BCA Visualization'!$B$1:$B$2</c15:sqref>
                        </c15:formulaRef>
                      </c:ext>
                    </c:extLst>
                    <c:strCache>
                      <c:ptCount val="2"/>
                      <c:pt idx="0">
                        <c:v>All</c:v>
                      </c:pt>
                      <c:pt idx="1">
                        <c:v>Population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uri="{02D57815-91ED-43cb-92C2-25804820EDAC}">
                        <c15:fullRef>
                          <c15:sqref>'BCA Visualization'!$B$3:$B$8</c15:sqref>
                        </c15:fullRef>
                        <c15:formulaRef>
                          <c15:sqref>('BCA Visualization'!$B$3,'BCA Visualization'!$B$5:$B$7)</c15:sqref>
                        </c15:formulaRef>
                      </c:ext>
                    </c:extLst>
                    <c:numCache>
                      <c:formatCode>General</c:formatCode>
                      <c:ptCount val="4"/>
                      <c:pt idx="0">
                        <c:v>20.767082129060149</c:v>
                      </c:pt>
                      <c:pt idx="1" formatCode="&quot;$&quot;#,##0.00">
                        <c:v>31.029370073564639</c:v>
                      </c:pt>
                      <c:pt idx="2" formatCode="&quot;$&quot;#,##0.00">
                        <c:v>13.277581234185503</c:v>
                      </c:pt>
                      <c:pt idx="3" formatCode="&quot;$&quot;#,##0.00">
                        <c:v>17.751788839379138</c:v>
                      </c:pt>
                    </c:numCache>
                  </c:numRef>
                </c:val>
                <c:extLst>
                  <c:ext xmlns:c16="http://schemas.microsoft.com/office/drawing/2014/chart" uri="{C3380CC4-5D6E-409C-BE32-E72D297353CC}">
                    <c16:uniqueId val="{00000000-266C-4B50-9231-479E7BC3AEF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Visualization'!$C$3:$C$8</c15:sqref>
                        </c15:fullRef>
                        <c15:formulaRef>
                          <c15:sqref>('BCA Visualization'!$C$3,'BCA Visualization'!$C$5:$C$7)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266C-4B50-9231-479E7BC3AEF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Visualization'!$E$3:$E$8</c15:sqref>
                        </c15:fullRef>
                        <c15:formulaRef>
                          <c15:sqref>('BCA Visualization'!$E$3,'BCA Visualization'!$E$5:$E$7)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266C-4B50-9231-479E7BC3AEF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Visualization'!$F$3:$F$8</c15:sqref>
                        </c15:fullRef>
                        <c15:formulaRef>
                          <c15:sqref>('BCA Visualization'!$F$3,'BCA Visualization'!$F$5:$F$7)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4-266C-4B50-9231-479E7BC3AEF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'BCA Visualization'!$G$1:$G$2</c15:sqref>
                        </c15:formulaRef>
                      </c:ext>
                    </c:extLst>
                    <c:strCache>
                      <c:ptCount val="2"/>
                      <c:pt idx="0">
                        <c:v>Bachelor's</c:v>
                      </c:pt>
                      <c:pt idx="1">
                        <c:v>Population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Visualization'!$G$3:$G$8</c15:sqref>
                        </c15:fullRef>
                        <c15:formulaRef>
                          <c15:sqref>('BCA Visualization'!$G$3,'BCA Visualization'!$G$5:$G$7)</c15:sqref>
                        </c15:formulaRef>
                      </c:ext>
                    </c:extLst>
                    <c:numCache>
                      <c:formatCode>General</c:formatCode>
                      <c:ptCount val="4"/>
                      <c:pt idx="0">
                        <c:v>27.637583758841515</c:v>
                      </c:pt>
                      <c:pt idx="1" formatCode="&quot;$&quot;#,##0.00">
                        <c:v>34.890678573049357</c:v>
                      </c:pt>
                      <c:pt idx="2" formatCode="&quot;$&quot;#,##0.00">
                        <c:v>11.265956146056553</c:v>
                      </c:pt>
                      <c:pt idx="3" formatCode="&quot;$&quot;#,##0.00">
                        <c:v>23.624722426992804</c:v>
                      </c:pt>
                    </c:numCache>
                  </c:numRef>
                </c:val>
                <c:extLst xmlns:c15="http://schemas.microsoft.com/office/drawing/2012/chart">
                  <c:ext xmlns:c16="http://schemas.microsoft.com/office/drawing/2014/chart" uri="{C3380CC4-5D6E-409C-BE32-E72D297353CC}">
                    <c16:uniqueId val="{00000005-266C-4B50-9231-479E7BC3AEF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Visualization'!$H$3:$H$8</c15:sqref>
                        </c15:fullRef>
                        <c15:formulaRef>
                          <c15:sqref>('BCA Visualization'!$H$3,'BCA Visualization'!$H$5:$H$7)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6-266C-4B50-9231-479E7BC3AEFC}"/>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Visualization'!$J$3:$J$8</c15:sqref>
                        </c15:fullRef>
                        <c15:formulaRef>
                          <c15:sqref>('BCA Visualization'!$J$3,'BCA Visualization'!$J$5:$J$7)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266C-4B50-9231-479E7BC3AEF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Visualization'!$K$3:$K$8</c15:sqref>
                        </c15:fullRef>
                        <c15:formulaRef>
                          <c15:sqref>('BCA Visualization'!$K$3,'BCA Visualization'!$K$5:$K$7)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9-266C-4B50-9231-479E7BC3AEFC}"/>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'BCA Visualization'!$L$1:$L$2</c15:sqref>
                        </c15:formulaRef>
                      </c:ext>
                    </c:extLst>
                    <c:strCache>
                      <c:ptCount val="2"/>
                      <c:pt idx="0">
                        <c:v>Master's</c:v>
                      </c:pt>
                      <c:pt idx="1">
                        <c:v>Population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Visualization'!$L$3:$L$8</c15:sqref>
                        </c15:fullRef>
                        <c15:formulaRef>
                          <c15:sqref>('BCA Visualization'!$L$3,'BCA Visualization'!$L$5:$L$7)</c15:sqref>
                        </c15:formulaRef>
                      </c:ext>
                    </c:extLst>
                    <c:numCache>
                      <c:formatCode>General</c:formatCode>
                      <c:ptCount val="4"/>
                      <c:pt idx="0">
                        <c:v>15.5482786284166</c:v>
                      </c:pt>
                      <c:pt idx="1" formatCode="&quot;$&quot;#,##0.00">
                        <c:v>20.187011387607456</c:v>
                      </c:pt>
                      <c:pt idx="2" formatCode="&quot;$&quot;#,##0.00">
                        <c:v>6.8962776527390295</c:v>
                      </c:pt>
                      <c:pt idx="3" formatCode="&quot;$&quot;#,##0.00">
                        <c:v>13.290733734868425</c:v>
                      </c:pt>
                    </c:numCache>
                  </c:numRef>
                </c:val>
                <c:extLst xmlns:c15="http://schemas.microsoft.com/office/drawing/2012/chart">
                  <c:ext xmlns:c16="http://schemas.microsoft.com/office/drawing/2014/chart" uri="{C3380CC4-5D6E-409C-BE32-E72D297353CC}">
                    <c16:uniqueId val="{0000000A-266C-4B50-9231-479E7BC3AEFC}"/>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Visualization'!$M$3:$M$8</c15:sqref>
                        </c15:fullRef>
                        <c15:formulaRef>
                          <c15:sqref>('BCA Visualization'!$M$3,'BCA Visualization'!$M$5:$M$7)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B-266C-4B50-9231-479E7BC3AEFC}"/>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Visualization'!$O$3:$O$8</c15:sqref>
                        </c15:fullRef>
                        <c15:formulaRef>
                          <c15:sqref>('BCA Visualization'!$O$3,'BCA Visualization'!$O$5:$O$7)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D-266C-4B50-9231-479E7BC3AEFC}"/>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Visualization'!$P$3:$P$8</c15:sqref>
                        </c15:fullRef>
                        <c15:formulaRef>
                          <c15:sqref>('BCA Visualization'!$P$3,'BCA Visualization'!$P$5:$P$7)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E-266C-4B50-9231-479E7BC3AEFC}"/>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'BCA Visualization'!$Q$1:$Q$2</c15:sqref>
                        </c15:formulaRef>
                      </c:ext>
                    </c:extLst>
                    <c:strCache>
                      <c:ptCount val="2"/>
                      <c:pt idx="0">
                        <c:v>Doctorate</c:v>
                      </c:pt>
                      <c:pt idx="1">
                        <c:v>Population</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Visualization'!$Q$3:$Q$8</c15:sqref>
                        </c15:fullRef>
                        <c15:formulaRef>
                          <c15:sqref>('BCA Visualization'!$Q$3,'BCA Visualization'!$Q$5:$Q$7)</c15:sqref>
                        </c15:formulaRef>
                      </c:ext>
                    </c:extLst>
                    <c:numCache>
                      <c:formatCode>General</c:formatCode>
                      <c:ptCount val="4"/>
                      <c:pt idx="0">
                        <c:v>13.714134600582401</c:v>
                      </c:pt>
                      <c:pt idx="1" formatCode="&quot;$&quot;#,##0.00">
                        <c:v>14.142972869105463</c:v>
                      </c:pt>
                      <c:pt idx="2" formatCode="&quot;$&quot;#,##0.00">
                        <c:v>2.4200731361818542</c:v>
                      </c:pt>
                      <c:pt idx="3" formatCode="&quot;$&quot;#,##0.00">
                        <c:v>11.72289973292361</c:v>
                      </c:pt>
                    </c:numCache>
                  </c:numRef>
                </c:val>
                <c:extLst xmlns:c15="http://schemas.microsoft.com/office/drawing/2012/chart">
                  <c:ext xmlns:c16="http://schemas.microsoft.com/office/drawing/2014/chart" uri="{C3380CC4-5D6E-409C-BE32-E72D297353CC}">
                    <c16:uniqueId val="{0000000F-266C-4B50-9231-479E7BC3AEFC}"/>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Visualization'!$A$3,'BCA Visualization'!$A$5:$A$7)</c15:sqref>
                        </c15:formulaRef>
                      </c:ext>
                    </c:extLst>
                    <c:strCache>
                      <c:ptCount val="4"/>
                      <c:pt idx="0">
                        <c:v>Net Benefits</c:v>
                      </c:pt>
                      <c:pt idx="1">
                        <c:v>PV Benefits</c:v>
                      </c:pt>
                      <c:pt idx="2">
                        <c:v>PV Costs</c:v>
                      </c:pt>
                      <c:pt idx="3">
                        <c:v>NPV</c:v>
                      </c:pt>
                    </c:strCache>
                  </c:strRef>
                </c:cat>
                <c:val>
                  <c:numRef>
                    <c:extLst>
                      <c:ext xmlns:c15="http://schemas.microsoft.com/office/drawing/2012/chart" uri="{02D57815-91ED-43cb-92C2-25804820EDAC}">
                        <c15:fullRef>
                          <c15:sqref>'BCA Visualization'!$R$3:$R$8</c15:sqref>
                        </c15:fullRef>
                        <c15:formulaRef>
                          <c15:sqref>('BCA Visualization'!$R$3,'BCA Visualization'!$R$5:$R$7)</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10-266C-4B50-9231-479E7BC3AEFC}"/>
                  </c:ext>
                </c:extLst>
              </c15:ser>
            </c15:filteredBarSeries>
          </c:ext>
        </c:extLst>
      </c:barChart>
      <c:catAx>
        <c:axId val="36622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87664"/>
        <c:crosses val="autoZero"/>
        <c:auto val="1"/>
        <c:lblAlgn val="ctr"/>
        <c:lblOffset val="100"/>
        <c:noMultiLvlLbl val="0"/>
      </c:catAx>
      <c:valAx>
        <c:axId val="36628766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2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6-3'!$J$22:$P$22</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0-EC15-4C13-8C6D-DC6426706717}"/>
            </c:ext>
          </c:extLst>
        </c:ser>
        <c:dLbls>
          <c:showLegendKey val="0"/>
          <c:showVal val="0"/>
          <c:showCatName val="0"/>
          <c:showSerName val="0"/>
          <c:showPercent val="0"/>
          <c:showBubbleSize val="0"/>
        </c:dLbls>
        <c:smooth val="0"/>
        <c:axId val="1902166416"/>
        <c:axId val="1902169296"/>
      </c:lineChart>
      <c:catAx>
        <c:axId val="1902166416"/>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169296"/>
        <c:crosses val="autoZero"/>
        <c:auto val="1"/>
        <c:lblAlgn val="ctr"/>
        <c:lblOffset val="100"/>
        <c:noMultiLvlLbl val="0"/>
      </c:catAx>
      <c:valAx>
        <c:axId val="19021692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16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6-3'!$J$31:$P$31</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0-22B0-432D-94C3-E831A5577001}"/>
            </c:ext>
          </c:extLst>
        </c:ser>
        <c:dLbls>
          <c:showLegendKey val="0"/>
          <c:showVal val="0"/>
          <c:showCatName val="0"/>
          <c:showSerName val="0"/>
          <c:showPercent val="0"/>
          <c:showBubbleSize val="0"/>
        </c:dLbls>
        <c:smooth val="0"/>
        <c:axId val="865387088"/>
        <c:axId val="865389488"/>
      </c:lineChart>
      <c:catAx>
        <c:axId val="865387088"/>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89488"/>
        <c:crosses val="autoZero"/>
        <c:auto val="1"/>
        <c:lblAlgn val="ctr"/>
        <c:lblOffset val="100"/>
        <c:noMultiLvlLbl val="0"/>
      </c:catAx>
      <c:valAx>
        <c:axId val="865389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cked"/>
        <c:varyColors val="0"/>
        <c:ser>
          <c:idx val="1"/>
          <c:order val="1"/>
          <c:tx>
            <c:strRef>
              <c:f>'Table 6-3'!$S$5</c:f>
              <c:strCache>
                <c:ptCount val="1"/>
                <c:pt idx="0">
                  <c:v>Bachelor's</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6-3'!$T$5:$Z$5</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1-35B7-4A1C-9EC5-305A1AF6031C}"/>
            </c:ext>
          </c:extLst>
        </c:ser>
        <c:ser>
          <c:idx val="2"/>
          <c:order val="2"/>
          <c:tx>
            <c:strRef>
              <c:f>'Table 6-3'!$S$6</c:f>
              <c:strCache>
                <c:ptCount val="1"/>
                <c:pt idx="0">
                  <c:v>Master's</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6-3'!$T$6:$Z$6</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2-35B7-4A1C-9EC5-305A1AF6031C}"/>
            </c:ext>
          </c:extLst>
        </c:ser>
        <c:ser>
          <c:idx val="3"/>
          <c:order val="3"/>
          <c:tx>
            <c:strRef>
              <c:f>'Table 6-3'!$S$7</c:f>
              <c:strCache>
                <c:ptCount val="1"/>
                <c:pt idx="0">
                  <c:v>Doctorate</c:v>
                </c:pt>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6-3'!$T$7:$Z$7</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3-35B7-4A1C-9EC5-305A1AF6031C}"/>
            </c:ext>
          </c:extLst>
        </c:ser>
        <c:ser>
          <c:idx val="5"/>
          <c:order val="5"/>
          <c:tx>
            <c:strRef>
              <c:f>'Table 6-3'!$S$9</c:f>
              <c:strCache>
                <c:ptCount val="1"/>
                <c:pt idx="0">
                  <c:v>Bachelor's, Female</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6-3'!$T$9:$Z$9</c:f>
              <c:numCache>
                <c:formatCode>0.00%</c:formatCode>
                <c:ptCount val="7"/>
                <c:pt idx="0">
                  <c:v>9.7565473994835852E-2</c:v>
                </c:pt>
                <c:pt idx="1">
                  <c:v>0.12902168121644331</c:v>
                </c:pt>
                <c:pt idx="2">
                  <c:v>0.14246485511701298</c:v>
                </c:pt>
                <c:pt idx="3">
                  <c:v>0.14555924423132097</c:v>
                </c:pt>
                <c:pt idx="4">
                  <c:v>0.15906389606131399</c:v>
                </c:pt>
                <c:pt idx="5">
                  <c:v>0.1641563178818804</c:v>
                </c:pt>
                <c:pt idx="6">
                  <c:v>0.16216853149719251</c:v>
                </c:pt>
              </c:numCache>
            </c:numRef>
          </c:val>
          <c:smooth val="0"/>
          <c:extLst>
            <c:ext xmlns:c16="http://schemas.microsoft.com/office/drawing/2014/chart" uri="{C3380CC4-5D6E-409C-BE32-E72D297353CC}">
              <c16:uniqueId val="{00000005-35B7-4A1C-9EC5-305A1AF6031C}"/>
            </c:ext>
          </c:extLst>
        </c:ser>
        <c:ser>
          <c:idx val="6"/>
          <c:order val="6"/>
          <c:tx>
            <c:strRef>
              <c:f>'Table 6-3'!$S$10</c:f>
              <c:strCache>
                <c:ptCount val="1"/>
                <c:pt idx="0">
                  <c:v>Master's, Female</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6-3'!$T$10:$Z$10</c:f>
              <c:numCache>
                <c:formatCode>0.00%</c:formatCode>
                <c:ptCount val="7"/>
                <c:pt idx="0">
                  <c:v>9.2780267180367693E-2</c:v>
                </c:pt>
                <c:pt idx="1">
                  <c:v>0.12224129988692994</c:v>
                </c:pt>
                <c:pt idx="2">
                  <c:v>0.13566313497215127</c:v>
                </c:pt>
                <c:pt idx="3">
                  <c:v>0.15067632647933329</c:v>
                </c:pt>
                <c:pt idx="4">
                  <c:v>0.15408936722643327</c:v>
                </c:pt>
                <c:pt idx="5">
                  <c:v>0.17046358725239749</c:v>
                </c:pt>
                <c:pt idx="6">
                  <c:v>0.17408601700238704</c:v>
                </c:pt>
              </c:numCache>
            </c:numRef>
          </c:val>
          <c:smooth val="0"/>
          <c:extLst>
            <c:ext xmlns:c16="http://schemas.microsoft.com/office/drawing/2014/chart" uri="{C3380CC4-5D6E-409C-BE32-E72D297353CC}">
              <c16:uniqueId val="{00000006-35B7-4A1C-9EC5-305A1AF6031C}"/>
            </c:ext>
          </c:extLst>
        </c:ser>
        <c:ser>
          <c:idx val="7"/>
          <c:order val="7"/>
          <c:tx>
            <c:strRef>
              <c:f>'Table 6-3'!$S$11</c:f>
              <c:strCache>
                <c:ptCount val="1"/>
                <c:pt idx="0">
                  <c:v>Doctorate, Female</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6-3'!$T$11:$Z$11</c:f>
              <c:numCache>
                <c:formatCode>0.00%</c:formatCode>
                <c:ptCount val="7"/>
                <c:pt idx="0">
                  <c:v>8.9653707244529424E-2</c:v>
                </c:pt>
                <c:pt idx="1">
                  <c:v>0.11068621202464415</c:v>
                </c:pt>
                <c:pt idx="2">
                  <c:v>0.12683237731038879</c:v>
                </c:pt>
                <c:pt idx="3">
                  <c:v>0.13724240492882941</c:v>
                </c:pt>
                <c:pt idx="4">
                  <c:v>0.15593796473337582</c:v>
                </c:pt>
                <c:pt idx="5">
                  <c:v>0.19120458891013384</c:v>
                </c:pt>
                <c:pt idx="6">
                  <c:v>0.18844274484809859</c:v>
                </c:pt>
              </c:numCache>
            </c:numRef>
          </c:val>
          <c:smooth val="0"/>
          <c:extLst>
            <c:ext xmlns:c16="http://schemas.microsoft.com/office/drawing/2014/chart" uri="{C3380CC4-5D6E-409C-BE32-E72D297353CC}">
              <c16:uniqueId val="{00000007-35B7-4A1C-9EC5-305A1AF6031C}"/>
            </c:ext>
          </c:extLst>
        </c:ser>
        <c:ser>
          <c:idx val="9"/>
          <c:order val="9"/>
          <c:tx>
            <c:strRef>
              <c:f>'Table 6-3'!$S$13</c:f>
              <c:strCache>
                <c:ptCount val="1"/>
                <c:pt idx="0">
                  <c:v>Bachelor's, Male</c:v>
                </c:pt>
              </c:strCache>
            </c:strRef>
          </c:tx>
          <c:spPr>
            <a:ln w="31750" cap="rnd">
              <a:solidFill>
                <a:schemeClr val="accent4">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6-3'!$T$13:$Z$13</c:f>
              <c:numCache>
                <c:formatCode>0.00%</c:formatCode>
                <c:ptCount val="7"/>
                <c:pt idx="0">
                  <c:v>0.11106786171574903</c:v>
                </c:pt>
                <c:pt idx="1">
                  <c:v>0.13071446862996158</c:v>
                </c:pt>
                <c:pt idx="2">
                  <c:v>0.14236107554417413</c:v>
                </c:pt>
                <c:pt idx="3">
                  <c:v>0.14650960307298336</c:v>
                </c:pt>
                <c:pt idx="4">
                  <c:v>0.14961331626120358</c:v>
                </c:pt>
                <c:pt idx="5">
                  <c:v>0.15726504481434059</c:v>
                </c:pt>
                <c:pt idx="6">
                  <c:v>0.1624686299615877</c:v>
                </c:pt>
              </c:numCache>
            </c:numRef>
          </c:val>
          <c:smooth val="0"/>
          <c:extLst>
            <c:ext xmlns:c16="http://schemas.microsoft.com/office/drawing/2014/chart" uri="{C3380CC4-5D6E-409C-BE32-E72D297353CC}">
              <c16:uniqueId val="{00000009-35B7-4A1C-9EC5-305A1AF6031C}"/>
            </c:ext>
          </c:extLst>
        </c:ser>
        <c:ser>
          <c:idx val="10"/>
          <c:order val="10"/>
          <c:tx>
            <c:strRef>
              <c:f>'Table 6-3'!$S$14</c:f>
              <c:strCache>
                <c:ptCount val="1"/>
                <c:pt idx="0">
                  <c:v>Master's, Male</c:v>
                </c:pt>
              </c:strCache>
            </c:strRef>
          </c:tx>
          <c:spPr>
            <a:ln w="31750" cap="rnd">
              <a:solidFill>
                <a:schemeClr val="accent5">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6-3'!$T$14:$Z$14</c:f>
              <c:numCache>
                <c:formatCode>0.00%</c:formatCode>
                <c:ptCount val="7"/>
                <c:pt idx="0">
                  <c:v>0.10956889657129588</c:v>
                </c:pt>
                <c:pt idx="1">
                  <c:v>0.13621939578442249</c:v>
                </c:pt>
                <c:pt idx="2">
                  <c:v>0.1354196228167488</c:v>
                </c:pt>
                <c:pt idx="3">
                  <c:v>0.14684863651608576</c:v>
                </c:pt>
                <c:pt idx="4">
                  <c:v>0.15224065426588582</c:v>
                </c:pt>
                <c:pt idx="5">
                  <c:v>0.15523335311266478</c:v>
                </c:pt>
                <c:pt idx="6">
                  <c:v>0.16446944093289648</c:v>
                </c:pt>
              </c:numCache>
            </c:numRef>
          </c:val>
          <c:smooth val="0"/>
          <c:extLst>
            <c:ext xmlns:c16="http://schemas.microsoft.com/office/drawing/2014/chart" uri="{C3380CC4-5D6E-409C-BE32-E72D297353CC}">
              <c16:uniqueId val="{0000000A-35B7-4A1C-9EC5-305A1AF6031C}"/>
            </c:ext>
          </c:extLst>
        </c:ser>
        <c:ser>
          <c:idx val="11"/>
          <c:order val="11"/>
          <c:tx>
            <c:strRef>
              <c:f>'Table 6-3'!$S$15</c:f>
              <c:strCache>
                <c:ptCount val="1"/>
                <c:pt idx="0">
                  <c:v>Doctorate, Male</c:v>
                </c:pt>
              </c:strCache>
            </c:strRef>
          </c:tx>
          <c:spPr>
            <a:ln w="31750" cap="rnd">
              <a:solidFill>
                <a:schemeClr val="accent6">
                  <a:lumMod val="60000"/>
                </a:schemeClr>
              </a:solidFill>
              <a:round/>
            </a:ln>
            <a:effectLst>
              <a:outerShdw blurRad="40000" dist="23000" dir="5400000" rotWithShape="0">
                <a:srgbClr val="000000">
                  <a:alpha val="35000"/>
                </a:srgbClr>
              </a:outerShdw>
            </a:effectLst>
          </c:spPr>
          <c:marker>
            <c:symbol val="none"/>
          </c:marker>
          <c:cat>
            <c:numRef>
              <c:f>'Table 6-3'!$T$3:$Z$3</c:f>
              <c:numCache>
                <c:formatCode>0</c:formatCode>
                <c:ptCount val="7"/>
                <c:pt idx="0">
                  <c:v>2003</c:v>
                </c:pt>
                <c:pt idx="1">
                  <c:v>2010</c:v>
                </c:pt>
                <c:pt idx="2">
                  <c:v>2013</c:v>
                </c:pt>
                <c:pt idx="3">
                  <c:v>2015</c:v>
                </c:pt>
                <c:pt idx="4">
                  <c:v>2017</c:v>
                </c:pt>
                <c:pt idx="5">
                  <c:v>2019</c:v>
                </c:pt>
                <c:pt idx="6">
                  <c:v>2021</c:v>
                </c:pt>
              </c:numCache>
            </c:numRef>
          </c:cat>
          <c:val>
            <c:numRef>
              <c:f>'Table 6-3'!$T$15:$Z$15</c:f>
              <c:numCache>
                <c:formatCode>0.00%</c:formatCode>
                <c:ptCount val="7"/>
                <c:pt idx="0">
                  <c:v>0.11655683690280066</c:v>
                </c:pt>
                <c:pt idx="1">
                  <c:v>0.1344041735310269</c:v>
                </c:pt>
                <c:pt idx="2">
                  <c:v>0.13097199341021418</c:v>
                </c:pt>
                <c:pt idx="3">
                  <c:v>0.13673805601317957</c:v>
                </c:pt>
                <c:pt idx="4">
                  <c:v>0.14579901153212521</c:v>
                </c:pt>
                <c:pt idx="5">
                  <c:v>0.16337177375068643</c:v>
                </c:pt>
                <c:pt idx="6">
                  <c:v>0.17215815485996705</c:v>
                </c:pt>
              </c:numCache>
            </c:numRef>
          </c:val>
          <c:smooth val="0"/>
          <c:extLst>
            <c:ext xmlns:c16="http://schemas.microsoft.com/office/drawing/2014/chart" uri="{C3380CC4-5D6E-409C-BE32-E72D297353CC}">
              <c16:uniqueId val="{0000000B-35B7-4A1C-9EC5-305A1AF6031C}"/>
            </c:ext>
          </c:extLst>
        </c:ser>
        <c:dLbls>
          <c:showLegendKey val="0"/>
          <c:showVal val="0"/>
          <c:showCatName val="0"/>
          <c:showSerName val="0"/>
          <c:showPercent val="0"/>
          <c:showBubbleSize val="0"/>
        </c:dLbls>
        <c:smooth val="0"/>
        <c:axId val="611100240"/>
        <c:axId val="611098800"/>
        <c:extLst>
          <c:ext xmlns:c15="http://schemas.microsoft.com/office/drawing/2012/chart" uri="{02D57815-91ED-43cb-92C2-25804820EDAC}">
            <c15:filteredLineSeries>
              <c15:ser>
                <c:idx val="0"/>
                <c:order val="0"/>
                <c:tx>
                  <c:strRef>
                    <c:extLst>
                      <c:ext uri="{02D57815-91ED-43cb-92C2-25804820EDAC}">
                        <c15:formulaRef>
                          <c15:sqref>'Table 6-3'!$S$4</c15:sqref>
                        </c15:formulaRef>
                      </c:ext>
                    </c:extLst>
                    <c:strCache>
                      <c:ptCount val="1"/>
                      <c:pt idx="0">
                        <c:v>Both sexes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numRef>
                    <c:extLst>
                      <c:ex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c:ext uri="{02D57815-91ED-43cb-92C2-25804820EDAC}">
                        <c15:formulaRef>
                          <c15:sqref>'Table 6-3'!$T$4:$Z$4</c15:sqref>
                        </c15:formulaRef>
                      </c:ext>
                    </c:extLst>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35B7-4A1C-9EC5-305A1AF6031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'Table 6-3'!$S$8</c15:sqref>
                        </c15:formulaRef>
                      </c:ext>
                    </c:extLst>
                    <c:strCache>
                      <c:ptCount val="1"/>
                      <c:pt idx="0">
                        <c:v>All Females</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numRef>
                    <c:extLst xmlns:c15="http://schemas.microsoft.com/office/drawing/2012/chart">
                      <c:ext xmlns:c15="http://schemas.microsoft.com/office/drawing/2012/char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xmlns:c15="http://schemas.microsoft.com/office/drawing/2012/chart">
                      <c:ext xmlns:c15="http://schemas.microsoft.com/office/drawing/2012/chart" uri="{02D57815-91ED-43cb-92C2-25804820EDAC}">
                        <c15:formulaRef>
                          <c15:sqref>'Table 6-3'!$T$8:$Z$8</c15:sqref>
                        </c15:formulaRef>
                      </c:ext>
                    </c:extLst>
                    <c:numCache>
                      <c:formatCode>0.00%</c:formatCode>
                      <c:ptCount val="7"/>
                      <c:pt idx="0">
                        <c:v>9.558297963856717E-2</c:v>
                      </c:pt>
                      <c:pt idx="1">
                        <c:v>0.12636865642375059</c:v>
                      </c:pt>
                      <c:pt idx="2">
                        <c:v>0.13948751684135288</c:v>
                      </c:pt>
                      <c:pt idx="3">
                        <c:v>0.14686292245703478</c:v>
                      </c:pt>
                      <c:pt idx="4">
                        <c:v>0.15750222970023972</c:v>
                      </c:pt>
                      <c:pt idx="5">
                        <c:v>0.16661711777245039</c:v>
                      </c:pt>
                      <c:pt idx="6">
                        <c:v>0.16757857716660446</c:v>
                      </c:pt>
                    </c:numCache>
                  </c:numRef>
                </c:val>
                <c:smooth val="0"/>
                <c:extLst xmlns:c15="http://schemas.microsoft.com/office/drawing/2012/chart">
                  <c:ext xmlns:c16="http://schemas.microsoft.com/office/drawing/2014/chart" uri="{C3380CC4-5D6E-409C-BE32-E72D297353CC}">
                    <c16:uniqueId val="{00000004-35B7-4A1C-9EC5-305A1AF6031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'Table 6-3'!$S$12</c15:sqref>
                        </c15:formulaRef>
                      </c:ext>
                    </c:extLst>
                    <c:strCache>
                      <c:ptCount val="1"/>
                      <c:pt idx="0">
                        <c:v>All Males</c:v>
                      </c:pt>
                    </c:strCache>
                  </c:strRef>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numRef>
                    <c:extLst xmlns:c15="http://schemas.microsoft.com/office/drawing/2012/chart">
                      <c:ext xmlns:c15="http://schemas.microsoft.com/office/drawing/2012/chart" uri="{02D57815-91ED-43cb-92C2-25804820EDAC}">
                        <c15:formulaRef>
                          <c15:sqref>'Table 6-3'!$T$3:$Z$3</c15:sqref>
                        </c15:formulaRef>
                      </c:ext>
                    </c:extLst>
                    <c:numCache>
                      <c:formatCode>0</c:formatCode>
                      <c:ptCount val="7"/>
                      <c:pt idx="0">
                        <c:v>2003</c:v>
                      </c:pt>
                      <c:pt idx="1">
                        <c:v>2010</c:v>
                      </c:pt>
                      <c:pt idx="2">
                        <c:v>2013</c:v>
                      </c:pt>
                      <c:pt idx="3">
                        <c:v>2015</c:v>
                      </c:pt>
                      <c:pt idx="4">
                        <c:v>2017</c:v>
                      </c:pt>
                      <c:pt idx="5">
                        <c:v>2019</c:v>
                      </c:pt>
                      <c:pt idx="6">
                        <c:v>2021</c:v>
                      </c:pt>
                    </c:numCache>
                  </c:numRef>
                </c:cat>
                <c:val>
                  <c:numRef>
                    <c:extLst xmlns:c15="http://schemas.microsoft.com/office/drawing/2012/chart">
                      <c:ext xmlns:c15="http://schemas.microsoft.com/office/drawing/2012/chart" uri="{02D57815-91ED-43cb-92C2-25804820EDAC}">
                        <c15:formulaRef>
                          <c15:sqref>'Table 6-3'!$T$12:$Z$12</c15:sqref>
                        </c15:formulaRef>
                      </c:ext>
                    </c:extLst>
                    <c:numCache>
                      <c:formatCode>0.00%</c:formatCode>
                      <c:ptCount val="7"/>
                      <c:pt idx="0">
                        <c:v>0.11237885632649909</c:v>
                      </c:pt>
                      <c:pt idx="1">
                        <c:v>0.13284940216481975</c:v>
                      </c:pt>
                      <c:pt idx="2">
                        <c:v>0.14020489851603021</c:v>
                      </c:pt>
                      <c:pt idx="3">
                        <c:v>0.14622829710284824</c:v>
                      </c:pt>
                      <c:pt idx="4">
                        <c:v>0.15008945004311622</c:v>
                      </c:pt>
                      <c:pt idx="5">
                        <c:v>0.15562376925750029</c:v>
                      </c:pt>
                      <c:pt idx="6">
                        <c:v>0.16262532658918619</c:v>
                      </c:pt>
                    </c:numCache>
                  </c:numRef>
                </c:val>
                <c:smooth val="0"/>
                <c:extLst xmlns:c15="http://schemas.microsoft.com/office/drawing/2012/chart">
                  <c:ext xmlns:c16="http://schemas.microsoft.com/office/drawing/2014/chart" uri="{C3380CC4-5D6E-409C-BE32-E72D297353CC}">
                    <c16:uniqueId val="{00000008-35B7-4A1C-9EC5-305A1AF6031C}"/>
                  </c:ext>
                </c:extLst>
              </c15:ser>
            </c15:filteredLineSeries>
          </c:ext>
        </c:extLst>
      </c:lineChart>
      <c:catAx>
        <c:axId val="611100240"/>
        <c:scaling>
          <c:orientation val="minMax"/>
        </c:scaling>
        <c:delete val="0"/>
        <c:axPos val="b"/>
        <c:numFmt formatCode="0"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098800"/>
        <c:crosses val="autoZero"/>
        <c:auto val="1"/>
        <c:lblAlgn val="ctr"/>
        <c:lblOffset val="100"/>
        <c:noMultiLvlLbl val="0"/>
      </c:catAx>
      <c:valAx>
        <c:axId val="61109880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110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6-3'!$J$58:$P$58</c:f>
              <c:numCache>
                <c:formatCode>0.00%</c:formatCode>
                <c:ptCount val="7"/>
                <c:pt idx="0">
                  <c:v>9.7565473994835852E-2</c:v>
                </c:pt>
                <c:pt idx="1">
                  <c:v>0.12902168121644331</c:v>
                </c:pt>
                <c:pt idx="2">
                  <c:v>0.14246485511701298</c:v>
                </c:pt>
                <c:pt idx="3">
                  <c:v>0.14555924423132097</c:v>
                </c:pt>
                <c:pt idx="4">
                  <c:v>0.15906389606131399</c:v>
                </c:pt>
                <c:pt idx="5">
                  <c:v>0.1641563178818804</c:v>
                </c:pt>
                <c:pt idx="6">
                  <c:v>0.16216853149719251</c:v>
                </c:pt>
              </c:numCache>
            </c:numRef>
          </c:val>
          <c:smooth val="0"/>
          <c:extLst>
            <c:ext xmlns:c16="http://schemas.microsoft.com/office/drawing/2014/chart" uri="{C3380CC4-5D6E-409C-BE32-E72D297353CC}">
              <c16:uniqueId val="{00000000-5290-455D-AC1A-B84E7AEDF104}"/>
            </c:ext>
          </c:extLst>
        </c:ser>
        <c:dLbls>
          <c:showLegendKey val="0"/>
          <c:showVal val="0"/>
          <c:showCatName val="0"/>
          <c:showSerName val="0"/>
          <c:showPercent val="0"/>
          <c:showBubbleSize val="0"/>
        </c:dLbls>
        <c:smooth val="0"/>
        <c:axId val="432575167"/>
        <c:axId val="432576127"/>
      </c:lineChart>
      <c:catAx>
        <c:axId val="432575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76127"/>
        <c:crosses val="autoZero"/>
        <c:auto val="1"/>
        <c:lblAlgn val="ctr"/>
        <c:lblOffset val="100"/>
        <c:noMultiLvlLbl val="0"/>
      </c:catAx>
      <c:valAx>
        <c:axId val="4325761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7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6-3'!$J$104:$P$104</c:f>
              <c:numCache>
                <c:formatCode>0.00%</c:formatCode>
                <c:ptCount val="7"/>
                <c:pt idx="0">
                  <c:v>0.10299625468164794</c:v>
                </c:pt>
                <c:pt idx="1">
                  <c:v>0.12092027822364901</c:v>
                </c:pt>
                <c:pt idx="2">
                  <c:v>0.13146067415730336</c:v>
                </c:pt>
                <c:pt idx="3">
                  <c:v>0.14446227929373998</c:v>
                </c:pt>
                <c:pt idx="4">
                  <c:v>0.15339753879079721</c:v>
                </c:pt>
                <c:pt idx="5">
                  <c:v>0.16811128945960407</c:v>
                </c:pt>
                <c:pt idx="6">
                  <c:v>0.17865168539325843</c:v>
                </c:pt>
              </c:numCache>
            </c:numRef>
          </c:val>
          <c:smooth val="0"/>
          <c:extLst>
            <c:ext xmlns:c16="http://schemas.microsoft.com/office/drawing/2014/chart" uri="{C3380CC4-5D6E-409C-BE32-E72D297353CC}">
              <c16:uniqueId val="{00000000-0255-48BD-8C41-22C0B71FB3BF}"/>
            </c:ext>
          </c:extLst>
        </c:ser>
        <c:dLbls>
          <c:showLegendKey val="0"/>
          <c:showVal val="0"/>
          <c:showCatName val="0"/>
          <c:showSerName val="0"/>
          <c:showPercent val="0"/>
          <c:showBubbleSize val="0"/>
        </c:dLbls>
        <c:smooth val="0"/>
        <c:axId val="764555055"/>
        <c:axId val="764556495"/>
      </c:lineChart>
      <c:catAx>
        <c:axId val="764555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556495"/>
        <c:crosses val="autoZero"/>
        <c:auto val="1"/>
        <c:lblAlgn val="ctr"/>
        <c:lblOffset val="100"/>
        <c:noMultiLvlLbl val="0"/>
      </c:catAx>
      <c:valAx>
        <c:axId val="7645564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55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6-3'!$J$94:$P$94</c:f>
              <c:numCache>
                <c:formatCode>0.00%</c:formatCode>
                <c:ptCount val="7"/>
                <c:pt idx="0">
                  <c:v>0.11237885632649909</c:v>
                </c:pt>
                <c:pt idx="1">
                  <c:v>0.13284940216481975</c:v>
                </c:pt>
                <c:pt idx="2">
                  <c:v>0.14020489851603021</c:v>
                </c:pt>
                <c:pt idx="3">
                  <c:v>0.14622829710284824</c:v>
                </c:pt>
                <c:pt idx="4">
                  <c:v>0.15008945004311622</c:v>
                </c:pt>
                <c:pt idx="5">
                  <c:v>0.15562376925750029</c:v>
                </c:pt>
                <c:pt idx="6">
                  <c:v>0.16262532658918619</c:v>
                </c:pt>
              </c:numCache>
            </c:numRef>
          </c:val>
          <c:smooth val="0"/>
          <c:extLst>
            <c:ext xmlns:c16="http://schemas.microsoft.com/office/drawing/2014/chart" uri="{C3380CC4-5D6E-409C-BE32-E72D297353CC}">
              <c16:uniqueId val="{00000000-D58F-4968-9369-0A31F47C7B74}"/>
            </c:ext>
          </c:extLst>
        </c:ser>
        <c:dLbls>
          <c:showLegendKey val="0"/>
          <c:showVal val="0"/>
          <c:showCatName val="0"/>
          <c:showSerName val="0"/>
          <c:showPercent val="0"/>
          <c:showBubbleSize val="0"/>
        </c:dLbls>
        <c:smooth val="0"/>
        <c:axId val="293329488"/>
        <c:axId val="293324688"/>
      </c:lineChart>
      <c:catAx>
        <c:axId val="293329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4688"/>
        <c:crosses val="autoZero"/>
        <c:auto val="1"/>
        <c:lblAlgn val="ctr"/>
        <c:lblOffset val="100"/>
        <c:noMultiLvlLbl val="0"/>
      </c:catAx>
      <c:valAx>
        <c:axId val="2933246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6-3'!$J$112:$P$112</c:f>
              <c:numCache>
                <c:formatCode>0.00%</c:formatCode>
                <c:ptCount val="7"/>
                <c:pt idx="0">
                  <c:v>0.10956889657129588</c:v>
                </c:pt>
                <c:pt idx="1">
                  <c:v>0.13621939578442249</c:v>
                </c:pt>
                <c:pt idx="2">
                  <c:v>0.1354196228167488</c:v>
                </c:pt>
                <c:pt idx="3">
                  <c:v>0.14684863651608576</c:v>
                </c:pt>
                <c:pt idx="4">
                  <c:v>0.15224065426588582</c:v>
                </c:pt>
                <c:pt idx="5">
                  <c:v>0.15523335311266478</c:v>
                </c:pt>
                <c:pt idx="6">
                  <c:v>0.16446944093289648</c:v>
                </c:pt>
              </c:numCache>
            </c:numRef>
          </c:val>
          <c:smooth val="0"/>
          <c:extLst>
            <c:ext xmlns:c16="http://schemas.microsoft.com/office/drawing/2014/chart" uri="{C3380CC4-5D6E-409C-BE32-E72D297353CC}">
              <c16:uniqueId val="{00000000-2F93-4018-9426-45FB4A693453}"/>
            </c:ext>
          </c:extLst>
        </c:ser>
        <c:dLbls>
          <c:showLegendKey val="0"/>
          <c:showVal val="0"/>
          <c:showCatName val="0"/>
          <c:showSerName val="0"/>
          <c:showPercent val="0"/>
          <c:showBubbleSize val="0"/>
        </c:dLbls>
        <c:smooth val="0"/>
        <c:axId val="1861450544"/>
        <c:axId val="1861458704"/>
      </c:lineChart>
      <c:catAx>
        <c:axId val="1861450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458704"/>
        <c:crosses val="autoZero"/>
        <c:auto val="1"/>
        <c:lblAlgn val="ctr"/>
        <c:lblOffset val="100"/>
        <c:noMultiLvlLbl val="0"/>
      </c:catAx>
      <c:valAx>
        <c:axId val="18614587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45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6-3'!$J$121:$P$121</c:f>
              <c:numCache>
                <c:formatCode>0.00%</c:formatCode>
                <c:ptCount val="7"/>
                <c:pt idx="0">
                  <c:v>0.11655683690280066</c:v>
                </c:pt>
                <c:pt idx="1">
                  <c:v>0.1344041735310269</c:v>
                </c:pt>
                <c:pt idx="2">
                  <c:v>0.13097199341021418</c:v>
                </c:pt>
                <c:pt idx="3">
                  <c:v>0.13673805601317957</c:v>
                </c:pt>
                <c:pt idx="4">
                  <c:v>0.14579901153212521</c:v>
                </c:pt>
                <c:pt idx="5">
                  <c:v>0.16337177375068643</c:v>
                </c:pt>
                <c:pt idx="6">
                  <c:v>0.17215815485996705</c:v>
                </c:pt>
              </c:numCache>
            </c:numRef>
          </c:val>
          <c:smooth val="0"/>
          <c:extLst>
            <c:ext xmlns:c16="http://schemas.microsoft.com/office/drawing/2014/chart" uri="{C3380CC4-5D6E-409C-BE32-E72D297353CC}">
              <c16:uniqueId val="{00000000-44E2-4A1B-8B1E-FAE78455C0EC}"/>
            </c:ext>
          </c:extLst>
        </c:ser>
        <c:dLbls>
          <c:showLegendKey val="0"/>
          <c:showVal val="0"/>
          <c:showCatName val="0"/>
          <c:showSerName val="0"/>
          <c:showPercent val="0"/>
          <c:showBubbleSize val="0"/>
        </c:dLbls>
        <c:smooth val="0"/>
        <c:axId val="2052900384"/>
        <c:axId val="2052907584"/>
      </c:lineChart>
      <c:catAx>
        <c:axId val="2052900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07584"/>
        <c:crosses val="autoZero"/>
        <c:auto val="1"/>
        <c:lblAlgn val="ctr"/>
        <c:lblOffset val="100"/>
        <c:noMultiLvlLbl val="0"/>
      </c:catAx>
      <c:valAx>
        <c:axId val="20529075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0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6-3'!$J$76:$P$76</c:f>
              <c:numCache>
                <c:formatCode>0.00%</c:formatCode>
                <c:ptCount val="7"/>
                <c:pt idx="0">
                  <c:v>8.9653707244529424E-2</c:v>
                </c:pt>
                <c:pt idx="1">
                  <c:v>0.11068621202464415</c:v>
                </c:pt>
                <c:pt idx="2">
                  <c:v>0.12683237731038879</c:v>
                </c:pt>
                <c:pt idx="3">
                  <c:v>0.13724240492882941</c:v>
                </c:pt>
                <c:pt idx="4">
                  <c:v>0.15593796473337582</c:v>
                </c:pt>
                <c:pt idx="5">
                  <c:v>0.19120458891013384</c:v>
                </c:pt>
                <c:pt idx="6">
                  <c:v>0.18844274484809859</c:v>
                </c:pt>
              </c:numCache>
            </c:numRef>
          </c:val>
          <c:smooth val="0"/>
          <c:extLst>
            <c:ext xmlns:c16="http://schemas.microsoft.com/office/drawing/2014/chart" uri="{C3380CC4-5D6E-409C-BE32-E72D297353CC}">
              <c16:uniqueId val="{00000000-27F7-4BD8-B2B7-77A17332977C}"/>
            </c:ext>
          </c:extLst>
        </c:ser>
        <c:dLbls>
          <c:showLegendKey val="0"/>
          <c:showVal val="0"/>
          <c:showCatName val="0"/>
          <c:showSerName val="0"/>
          <c:showPercent val="0"/>
          <c:showBubbleSize val="0"/>
        </c:dLbls>
        <c:smooth val="0"/>
        <c:axId val="2052897504"/>
        <c:axId val="2052911904"/>
      </c:lineChart>
      <c:catAx>
        <c:axId val="2052897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11904"/>
        <c:crosses val="autoZero"/>
        <c:auto val="1"/>
        <c:lblAlgn val="ctr"/>
        <c:lblOffset val="100"/>
        <c:noMultiLvlLbl val="0"/>
      </c:catAx>
      <c:valAx>
        <c:axId val="2052911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89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6-3'!$J$67:$P$67</c:f>
              <c:numCache>
                <c:formatCode>0.00%</c:formatCode>
                <c:ptCount val="7"/>
                <c:pt idx="0">
                  <c:v>9.2780267180367693E-2</c:v>
                </c:pt>
                <c:pt idx="1">
                  <c:v>0.12224129988692994</c:v>
                </c:pt>
                <c:pt idx="2">
                  <c:v>0.13566313497215127</c:v>
                </c:pt>
                <c:pt idx="3">
                  <c:v>0.15067632647933329</c:v>
                </c:pt>
                <c:pt idx="4">
                  <c:v>0.15408936722643327</c:v>
                </c:pt>
                <c:pt idx="5">
                  <c:v>0.17046358725239749</c:v>
                </c:pt>
                <c:pt idx="6">
                  <c:v>0.17408601700238704</c:v>
                </c:pt>
              </c:numCache>
            </c:numRef>
          </c:val>
          <c:smooth val="0"/>
          <c:extLst>
            <c:ext xmlns:c16="http://schemas.microsoft.com/office/drawing/2014/chart" uri="{C3380CC4-5D6E-409C-BE32-E72D297353CC}">
              <c16:uniqueId val="{00000000-C0D7-43DB-B59D-726E6E87D37D}"/>
            </c:ext>
          </c:extLst>
        </c:ser>
        <c:dLbls>
          <c:showLegendKey val="0"/>
          <c:showVal val="0"/>
          <c:showCatName val="0"/>
          <c:showSerName val="0"/>
          <c:showPercent val="0"/>
          <c:showBubbleSize val="0"/>
        </c:dLbls>
        <c:smooth val="0"/>
        <c:axId val="1919844864"/>
        <c:axId val="2052914304"/>
      </c:lineChart>
      <c:catAx>
        <c:axId val="1919844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2914304"/>
        <c:crosses val="autoZero"/>
        <c:auto val="1"/>
        <c:lblAlgn val="ctr"/>
        <c:lblOffset val="100"/>
        <c:noMultiLvlLbl val="0"/>
      </c:catAx>
      <c:valAx>
        <c:axId val="20529143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84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Financial Data Ratio Analyses by 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'BCA Visualization'!$D$1:$D$2</c:f>
              <c:strCache>
                <c:ptCount val="2"/>
                <c:pt idx="0">
                  <c:v>All</c:v>
                </c:pt>
                <c:pt idx="1">
                  <c:v>Financial</c:v>
                </c:pt>
              </c:strCache>
            </c:strRef>
          </c:tx>
          <c:spPr>
            <a:solidFill>
              <a:schemeClr val="bg1">
                <a:lumMod val="75000"/>
              </a:schemeClr>
            </a:solidFill>
            <a:ln>
              <a:solidFill>
                <a:schemeClr val="bg1">
                  <a:lumMod val="7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Visualization'!$D$3:$D$8</c15:sqref>
                  </c15:fullRef>
                </c:ext>
              </c:extLst>
              <c:f>('BCA Visualization'!$D$4,'BCA Visualization'!$D$8)</c:f>
              <c:numCache>
                <c:formatCode>General</c:formatCode>
                <c:ptCount val="2"/>
                <c:pt idx="0">
                  <c:v>1.3287277851596058</c:v>
                </c:pt>
                <c:pt idx="1">
                  <c:v>0.32872778515960571</c:v>
                </c:pt>
              </c:numCache>
            </c:numRef>
          </c:val>
          <c:extLst>
            <c:ext xmlns:c16="http://schemas.microsoft.com/office/drawing/2014/chart" uri="{C3380CC4-5D6E-409C-BE32-E72D297353CC}">
              <c16:uniqueId val="{00000000-798C-476C-943A-5DD3E193F39B}"/>
            </c:ext>
          </c:extLst>
        </c:ser>
        <c:ser>
          <c:idx val="7"/>
          <c:order val="7"/>
          <c:tx>
            <c:strRef>
              <c:f>'BCA Visualization'!$I$1:$I$2</c:f>
              <c:strCache>
                <c:ptCount val="2"/>
                <c:pt idx="0">
                  <c:v>Bachelor's</c:v>
                </c:pt>
                <c:pt idx="1">
                  <c:v>Financial</c:v>
                </c:pt>
              </c:strCache>
            </c:strRef>
          </c:tx>
          <c:spPr>
            <a:solidFill>
              <a:srgbClr val="FFCCFF"/>
            </a:solidFill>
            <a:ln>
              <a:solidFill>
                <a:srgbClr val="FF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Visualization'!$I$3:$I$8</c15:sqref>
                  </c15:fullRef>
                </c:ext>
              </c:extLst>
              <c:f>('BCA Visualization'!$I$4,'BCA Visualization'!$I$8)</c:f>
              <c:numCache>
                <c:formatCode>General</c:formatCode>
                <c:ptCount val="2"/>
                <c:pt idx="0">
                  <c:v>1.2727498696668229</c:v>
                </c:pt>
                <c:pt idx="1">
                  <c:v>0.27274986966682296</c:v>
                </c:pt>
              </c:numCache>
            </c:numRef>
          </c:val>
          <c:extLst>
            <c:ext xmlns:c16="http://schemas.microsoft.com/office/drawing/2014/chart" uri="{C3380CC4-5D6E-409C-BE32-E72D297353CC}">
              <c16:uniqueId val="{00000001-798C-476C-943A-5DD3E193F39B}"/>
            </c:ext>
          </c:extLst>
        </c:ser>
        <c:ser>
          <c:idx val="12"/>
          <c:order val="12"/>
          <c:tx>
            <c:strRef>
              <c:f>'BCA Visualization'!$N$1:$N$2</c:f>
              <c:strCache>
                <c:ptCount val="2"/>
                <c:pt idx="0">
                  <c:v>Master's</c:v>
                </c:pt>
                <c:pt idx="1">
                  <c:v>Financial</c:v>
                </c:pt>
              </c:strCache>
            </c:strRef>
          </c:tx>
          <c:spPr>
            <a:solidFill>
              <a:srgbClr val="99CCFF"/>
            </a:solidFill>
            <a:ln>
              <a:solidFill>
                <a:srgbClr val="99CCFF"/>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Visualization'!$N$3:$N$8</c15:sqref>
                  </c15:fullRef>
                </c:ext>
              </c:extLst>
              <c:f>('BCA Visualization'!$N$4,'BCA Visualization'!$N$8)</c:f>
              <c:numCache>
                <c:formatCode>General</c:formatCode>
                <c:ptCount val="2"/>
                <c:pt idx="0">
                  <c:v>1.1906994766584413</c:v>
                </c:pt>
                <c:pt idx="1">
                  <c:v>0.19069947665844128</c:v>
                </c:pt>
              </c:numCache>
            </c:numRef>
          </c:val>
          <c:extLst>
            <c:ext xmlns:c16="http://schemas.microsoft.com/office/drawing/2014/chart" uri="{C3380CC4-5D6E-409C-BE32-E72D297353CC}">
              <c16:uniqueId val="{00000002-798C-476C-943A-5DD3E193F39B}"/>
            </c:ext>
          </c:extLst>
        </c:ser>
        <c:ser>
          <c:idx val="17"/>
          <c:order val="17"/>
          <c:tx>
            <c:strRef>
              <c:f>'BCA Visualization'!$S$1:$S$2</c:f>
              <c:strCache>
                <c:ptCount val="2"/>
                <c:pt idx="0">
                  <c:v>Doctorate</c:v>
                </c:pt>
                <c:pt idx="1">
                  <c:v>Financial</c:v>
                </c:pt>
              </c:strCache>
            </c:strRef>
          </c:tx>
          <c:spPr>
            <a:solidFill>
              <a:srgbClr val="99FFCC"/>
            </a:solidFill>
            <a:ln>
              <a:solidFill>
                <a:srgbClr val="99FFCC"/>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ext>
              </c:extLst>
              <c:f>('BCA Visualization'!$A$4,'BCA Visualization'!$A$8)</c:f>
              <c:strCache>
                <c:ptCount val="2"/>
                <c:pt idx="0">
                  <c:v>Benefit-Cost Ratio</c:v>
                </c:pt>
                <c:pt idx="1">
                  <c:v>ROI</c:v>
                </c:pt>
              </c:strCache>
            </c:strRef>
          </c:cat>
          <c:val>
            <c:numRef>
              <c:extLst>
                <c:ext xmlns:c15="http://schemas.microsoft.com/office/drawing/2012/chart" uri="{02D57815-91ED-43cb-92C2-25804820EDAC}">
                  <c15:fullRef>
                    <c15:sqref>'BCA Visualization'!$S$3:$S$8</c15:sqref>
                  </c15:fullRef>
                </c:ext>
              </c:extLst>
              <c:f>('BCA Visualization'!$S$4,'BCA Visualization'!$S$8)</c:f>
              <c:numCache>
                <c:formatCode>General</c:formatCode>
                <c:ptCount val="2"/>
                <c:pt idx="0">
                  <c:v>0.83694191574535159</c:v>
                </c:pt>
                <c:pt idx="1">
                  <c:v>-0.16305808425464843</c:v>
                </c:pt>
              </c:numCache>
            </c:numRef>
          </c:val>
          <c:extLst>
            <c:ext xmlns:c16="http://schemas.microsoft.com/office/drawing/2014/chart" uri="{C3380CC4-5D6E-409C-BE32-E72D297353CC}">
              <c16:uniqueId val="{00000003-798C-476C-943A-5DD3E193F39B}"/>
            </c:ext>
          </c:extLst>
        </c:ser>
        <c:dLbls>
          <c:showLegendKey val="0"/>
          <c:showVal val="0"/>
          <c:showCatName val="0"/>
          <c:showSerName val="0"/>
          <c:showPercent val="0"/>
          <c:showBubbleSize val="0"/>
        </c:dLbls>
        <c:gapWidth val="100"/>
        <c:overlap val="-24"/>
        <c:axId val="366224304"/>
        <c:axId val="366287664"/>
        <c:extLst>
          <c:ext xmlns:c15="http://schemas.microsoft.com/office/drawing/2012/chart" uri="{02D57815-91ED-43cb-92C2-25804820EDAC}">
            <c15:filteredBarSeries>
              <c15:ser>
                <c:idx val="0"/>
                <c:order val="0"/>
                <c:tx>
                  <c:strRef>
                    <c:extLst>
                      <c:ext uri="{02D57815-91ED-43cb-92C2-25804820EDAC}">
                        <c15:formulaRef>
                          <c15:sqref>'BCA Visualization'!$B$1:$B$2</c15:sqref>
                        </c15:formulaRef>
                      </c:ext>
                    </c:extLst>
                    <c:strCache>
                      <c:ptCount val="2"/>
                      <c:pt idx="0">
                        <c:v>All</c:v>
                      </c:pt>
                      <c:pt idx="1">
                        <c:v>Population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uri="{02D57815-91ED-43cb-92C2-25804820EDAC}">
                        <c15:fullRef>
                          <c15:sqref>'BCA Visualization'!$B$3:$B$8</c15:sqref>
                        </c15:fullRef>
                        <c15:formulaRef>
                          <c15:sqref>('BCA Visualization'!$B$4,'BCA Visualization'!$B$8)</c15:sqref>
                        </c15:formulaRef>
                      </c:ext>
                    </c:extLst>
                    <c:numCache>
                      <c:formatCode>General</c:formatCode>
                      <c:ptCount val="2"/>
                      <c:pt idx="0">
                        <c:v>2.336974598481385</c:v>
                      </c:pt>
                      <c:pt idx="1">
                        <c:v>1.336974598481385</c:v>
                      </c:pt>
                    </c:numCache>
                  </c:numRef>
                </c:val>
                <c:extLst>
                  <c:ext xmlns:c16="http://schemas.microsoft.com/office/drawing/2014/chart" uri="{C3380CC4-5D6E-409C-BE32-E72D297353CC}">
                    <c16:uniqueId val="{00000004-798C-476C-943A-5DD3E193F39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'BCA Visualization'!$C$1:$C$2</c15:sqref>
                        </c15:formulaRef>
                      </c:ext>
                    </c:extLst>
                    <c:strCache>
                      <c:ptCount val="2"/>
                      <c:pt idx="0">
                        <c:v>All</c:v>
                      </c:pt>
                      <c:pt idx="1">
                        <c:v>Financial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Visualization'!$C$3:$C$8</c15:sqref>
                        </c15:fullRef>
                        <c15:formulaRef>
                          <c15:sqref>('BCA Visualization'!$C$4,'BCA Visualization'!$C$8)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798C-476C-943A-5DD3E193F39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'BCA Visualization'!$E$1:$E$2</c15:sqref>
                        </c15:formulaRef>
                      </c:ext>
                    </c:extLst>
                    <c:strCache>
                      <c:ptCount val="2"/>
                      <c:pt idx="0">
                        <c:v>All</c:v>
                      </c:pt>
                      <c:pt idx="1">
                        <c:v>Financial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Visualization'!$E$3:$E$8</c15:sqref>
                        </c15:fullRef>
                        <c15:formulaRef>
                          <c15:sqref>('BCA Visualization'!$E$4,'BCA Visualization'!$E$8)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798C-476C-943A-5DD3E193F39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'BCA Visualization'!$F$1:$F$2</c15:sqref>
                        </c15:formulaRef>
                      </c:ext>
                    </c:extLst>
                    <c:strCache>
                      <c:ptCount val="2"/>
                      <c:pt idx="0">
                        <c:v>Bachelor's</c:v>
                      </c:pt>
                      <c:pt idx="1">
                        <c:v>Population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Visualization'!$F$3:$F$8</c15:sqref>
                        </c15:fullRef>
                        <c15:formulaRef>
                          <c15:sqref>('BCA Visualization'!$F$4,'BCA Visualization'!$F$8)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798C-476C-943A-5DD3E193F39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'BCA Visualization'!$G$1:$G$2</c15:sqref>
                        </c15:formulaRef>
                      </c:ext>
                    </c:extLst>
                    <c:strCache>
                      <c:ptCount val="2"/>
                      <c:pt idx="0">
                        <c:v>Bachelor's</c:v>
                      </c:pt>
                      <c:pt idx="1">
                        <c:v>Population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Visualization'!$G$3:$G$8</c15:sqref>
                        </c15:fullRef>
                        <c15:formulaRef>
                          <c15:sqref>('BCA Visualization'!$G$4,'BCA Visualization'!$G$8)</c15:sqref>
                        </c15:formulaRef>
                      </c:ext>
                    </c:extLst>
                    <c:numCache>
                      <c:formatCode>General</c:formatCode>
                      <c:ptCount val="2"/>
                      <c:pt idx="0">
                        <c:v>3.0970010996591903</c:v>
                      </c:pt>
                      <c:pt idx="1">
                        <c:v>2.0970010996591903</c:v>
                      </c:pt>
                    </c:numCache>
                  </c:numRef>
                </c:val>
                <c:extLst xmlns:c15="http://schemas.microsoft.com/office/drawing/2012/chart">
                  <c:ext xmlns:c16="http://schemas.microsoft.com/office/drawing/2014/chart" uri="{C3380CC4-5D6E-409C-BE32-E72D297353CC}">
                    <c16:uniqueId val="{00000008-798C-476C-943A-5DD3E193F39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'BCA Visualization'!$H$1:$H$2</c15:sqref>
                        </c15:formulaRef>
                      </c:ext>
                    </c:extLst>
                    <c:strCache>
                      <c:ptCount val="2"/>
                      <c:pt idx="0">
                        <c:v>Bachelor's</c:v>
                      </c:pt>
                      <c:pt idx="1">
                        <c:v>Financial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Visualization'!$H$3:$H$8</c15:sqref>
                        </c15:fullRef>
                        <c15:formulaRef>
                          <c15:sqref>('BCA Visualization'!$H$4,'BCA Visualization'!$H$8)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9-798C-476C-943A-5DD3E193F39B}"/>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'BCA Visualization'!$J$1:$J$2</c15:sqref>
                        </c15:formulaRef>
                      </c:ext>
                    </c:extLst>
                    <c:strCache>
                      <c:ptCount val="2"/>
                      <c:pt idx="0">
                        <c:v>Bachelor's</c:v>
                      </c:pt>
                      <c:pt idx="1">
                        <c:v>Financial</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Visualization'!$J$3:$J$8</c15:sqref>
                        </c15:fullRef>
                        <c15:formulaRef>
                          <c15:sqref>('BCA Visualization'!$J$4,'BCA Visualization'!$J$8)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798C-476C-943A-5DD3E193F39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'BCA Visualization'!$K$1:$K$2</c15:sqref>
                        </c15:formulaRef>
                      </c:ext>
                    </c:extLst>
                    <c:strCache>
                      <c:ptCount val="2"/>
                      <c:pt idx="0">
                        <c:v>Master's</c:v>
                      </c:pt>
                      <c:pt idx="1">
                        <c:v>Population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Visualization'!$K$3:$K$8</c15:sqref>
                        </c15:fullRef>
                        <c15:formulaRef>
                          <c15:sqref>('BCA Visualization'!$K$4,'BCA Visualization'!$K$8)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B-798C-476C-943A-5DD3E193F39B}"/>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'BCA Visualization'!$L$1:$L$2</c15:sqref>
                        </c15:formulaRef>
                      </c:ext>
                    </c:extLst>
                    <c:strCache>
                      <c:ptCount val="2"/>
                      <c:pt idx="0">
                        <c:v>Master's</c:v>
                      </c:pt>
                      <c:pt idx="1">
                        <c:v>Population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Visualization'!$L$3:$L$8</c15:sqref>
                        </c15:fullRef>
                        <c15:formulaRef>
                          <c15:sqref>('BCA Visualization'!$L$4,'BCA Visualization'!$L$8)</c15:sqref>
                        </c15:formulaRef>
                      </c:ext>
                    </c:extLst>
                    <c:numCache>
                      <c:formatCode>General</c:formatCode>
                      <c:ptCount val="2"/>
                      <c:pt idx="0">
                        <c:v>2.9272329804745718</c:v>
                      </c:pt>
                      <c:pt idx="1">
                        <c:v>1.9272329804745718</c:v>
                      </c:pt>
                    </c:numCache>
                  </c:numRef>
                </c:val>
                <c:extLst xmlns:c15="http://schemas.microsoft.com/office/drawing/2012/chart">
                  <c:ext xmlns:c16="http://schemas.microsoft.com/office/drawing/2014/chart" uri="{C3380CC4-5D6E-409C-BE32-E72D297353CC}">
                    <c16:uniqueId val="{0000000C-798C-476C-943A-5DD3E193F39B}"/>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'BCA Visualization'!$M$1:$M$2</c15:sqref>
                        </c15:formulaRef>
                      </c:ext>
                    </c:extLst>
                    <c:strCache>
                      <c:ptCount val="2"/>
                      <c:pt idx="0">
                        <c:v>Master's</c:v>
                      </c:pt>
                      <c:pt idx="1">
                        <c:v>Financial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Visualization'!$M$3:$M$8</c15:sqref>
                        </c15:fullRef>
                        <c15:formulaRef>
                          <c15:sqref>('BCA Visualization'!$M$4,'BCA Visualization'!$M$8)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D-798C-476C-943A-5DD3E193F39B}"/>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'BCA Visualization'!$O$1:$O$2</c15:sqref>
                        </c15:formulaRef>
                      </c:ext>
                    </c:extLst>
                    <c:strCache>
                      <c:ptCount val="2"/>
                      <c:pt idx="0">
                        <c:v>Master's</c:v>
                      </c:pt>
                      <c:pt idx="1">
                        <c:v>Financial</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Visualization'!$O$3:$O$8</c15:sqref>
                        </c15:fullRef>
                        <c15:formulaRef>
                          <c15:sqref>('BCA Visualization'!$O$4,'BCA Visualization'!$O$8)</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E-798C-476C-943A-5DD3E193F39B}"/>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'BCA Visualization'!$P$1:$P$2</c15:sqref>
                        </c15:formulaRef>
                      </c:ext>
                    </c:extLst>
                    <c:strCache>
                      <c:ptCount val="2"/>
                      <c:pt idx="0">
                        <c:v>Doctorate</c:v>
                      </c:pt>
                      <c:pt idx="1">
                        <c:v>Population</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Visualization'!$P$3:$P$8</c15:sqref>
                        </c15:fullRef>
                        <c15:formulaRef>
                          <c15:sqref>('BCA Visualization'!$P$4,'BCA Visualization'!$P$8)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F-798C-476C-943A-5DD3E193F39B}"/>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'BCA Visualization'!$Q$1:$Q$2</c15:sqref>
                        </c15:formulaRef>
                      </c:ext>
                    </c:extLst>
                    <c:strCache>
                      <c:ptCount val="2"/>
                      <c:pt idx="0">
                        <c:v>Doctorate</c:v>
                      </c:pt>
                      <c:pt idx="1">
                        <c:v>Population</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Visualization'!$Q$3:$Q$8</c15:sqref>
                        </c15:fullRef>
                        <c15:formulaRef>
                          <c15:sqref>('BCA Visualization'!$Q$4,'BCA Visualization'!$Q$8)</c15:sqref>
                        </c15:formulaRef>
                      </c:ext>
                    </c:extLst>
                    <c:numCache>
                      <c:formatCode>General</c:formatCode>
                      <c:ptCount val="2"/>
                      <c:pt idx="0">
                        <c:v>5.8440270492894326</c:v>
                      </c:pt>
                      <c:pt idx="1">
                        <c:v>4.8440270492894326</c:v>
                      </c:pt>
                    </c:numCache>
                  </c:numRef>
                </c:val>
                <c:extLst xmlns:c15="http://schemas.microsoft.com/office/drawing/2012/chart">
                  <c:ext xmlns:c16="http://schemas.microsoft.com/office/drawing/2014/chart" uri="{C3380CC4-5D6E-409C-BE32-E72D297353CC}">
                    <c16:uniqueId val="{00000010-798C-476C-943A-5DD3E193F39B}"/>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'BCA Visualization'!$R$1:$R$2</c15:sqref>
                        </c15:formulaRef>
                      </c:ext>
                    </c:extLst>
                    <c:strCache>
                      <c:ptCount val="2"/>
                      <c:pt idx="0">
                        <c:v>Doctorate</c:v>
                      </c:pt>
                      <c:pt idx="1">
                        <c:v>Financial</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'BCA Visualization'!$A$3:$A$8</c15:sqref>
                        </c15:fullRef>
                        <c15:formulaRef>
                          <c15:sqref>('BCA Visualization'!$A$4,'BCA Visualization'!$A$8)</c15:sqref>
                        </c15:formulaRef>
                      </c:ext>
                    </c:extLst>
                    <c:strCache>
                      <c:ptCount val="2"/>
                      <c:pt idx="0">
                        <c:v>Benefit-Cost Ratio</c:v>
                      </c:pt>
                      <c:pt idx="1">
                        <c:v>ROI</c:v>
                      </c:pt>
                    </c:strCache>
                  </c:strRef>
                </c:cat>
                <c:val>
                  <c:numRef>
                    <c:extLst>
                      <c:ext xmlns:c15="http://schemas.microsoft.com/office/drawing/2012/chart" uri="{02D57815-91ED-43cb-92C2-25804820EDAC}">
                        <c15:fullRef>
                          <c15:sqref>'BCA Visualization'!$R$3:$R$8</c15:sqref>
                        </c15:fullRef>
                        <c15:formulaRef>
                          <c15:sqref>('BCA Visualization'!$R$4,'BCA Visualization'!$R$8)</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11-798C-476C-943A-5DD3E193F39B}"/>
                  </c:ext>
                </c:extLst>
              </c15:ser>
            </c15:filteredBarSeries>
          </c:ext>
        </c:extLst>
      </c:barChart>
      <c:catAx>
        <c:axId val="36622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87664"/>
        <c:crosses val="autoZero"/>
        <c:auto val="1"/>
        <c:lblAlgn val="ctr"/>
        <c:lblOffset val="100"/>
        <c:noMultiLvlLbl val="0"/>
      </c:catAx>
      <c:valAx>
        <c:axId val="36628766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22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'Table 6-3'!$B$3:$H$3</c:f>
              <c:numCache>
                <c:formatCode>0</c:formatCode>
                <c:ptCount val="7"/>
                <c:pt idx="0">
                  <c:v>2003</c:v>
                </c:pt>
                <c:pt idx="1">
                  <c:v>2010</c:v>
                </c:pt>
                <c:pt idx="2">
                  <c:v>2013</c:v>
                </c:pt>
                <c:pt idx="3">
                  <c:v>2015</c:v>
                </c:pt>
                <c:pt idx="4">
                  <c:v>2017</c:v>
                </c:pt>
                <c:pt idx="5">
                  <c:v>2019</c:v>
                </c:pt>
                <c:pt idx="6">
                  <c:v>2021</c:v>
                </c:pt>
              </c:numCache>
            </c:numRef>
          </c:cat>
          <c:val>
            <c:numRef>
              <c:f>'Table 6-3'!$J$13:$P$13</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0-F833-44B6-929B-C0AD901BEFFD}"/>
            </c:ext>
          </c:extLst>
        </c:ser>
        <c:dLbls>
          <c:showLegendKey val="0"/>
          <c:showVal val="0"/>
          <c:showCatName val="0"/>
          <c:showSerName val="0"/>
          <c:showPercent val="0"/>
          <c:showBubbleSize val="0"/>
        </c:dLbls>
        <c:smooth val="0"/>
        <c:axId val="1902411760"/>
        <c:axId val="1902410800"/>
      </c:lineChart>
      <c:catAx>
        <c:axId val="1902411760"/>
        <c:scaling>
          <c:orientation val="minMax"/>
        </c:scaling>
        <c:delete val="0"/>
        <c:axPos val="b"/>
        <c:numFmt formatCode="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410800"/>
        <c:crosses val="autoZero"/>
        <c:auto val="1"/>
        <c:lblAlgn val="ctr"/>
        <c:lblOffset val="100"/>
        <c:noMultiLvlLbl val="0"/>
      </c:catAx>
      <c:valAx>
        <c:axId val="19024108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41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6-3'!$J$3:$P$3</c:f>
              <c:strCache>
                <c:ptCount val="7"/>
                <c:pt idx="0">
                  <c:v>P(2003)</c:v>
                </c:pt>
                <c:pt idx="1">
                  <c:v>P(2010)</c:v>
                </c:pt>
                <c:pt idx="2">
                  <c:v>P(2013)</c:v>
                </c:pt>
                <c:pt idx="3">
                  <c:v>P(2015)</c:v>
                </c:pt>
                <c:pt idx="4">
                  <c:v>P(2017)</c:v>
                </c:pt>
                <c:pt idx="5">
                  <c:v>P(2019)</c:v>
                </c:pt>
                <c:pt idx="6">
                  <c:v>P(2021)</c:v>
                </c:pt>
              </c:strCache>
            </c:strRef>
          </c:cat>
          <c:val>
            <c:numRef>
              <c:f>'Table 6-3'!$J$49:$P$49</c:f>
              <c:numCache>
                <c:formatCode>0.00%</c:formatCode>
                <c:ptCount val="7"/>
                <c:pt idx="0">
                  <c:v>9.558297963856717E-2</c:v>
                </c:pt>
                <c:pt idx="1">
                  <c:v>0.12636865642375059</c:v>
                </c:pt>
                <c:pt idx="2">
                  <c:v>0.13948751684135288</c:v>
                </c:pt>
                <c:pt idx="3">
                  <c:v>0.14686292245703478</c:v>
                </c:pt>
                <c:pt idx="4">
                  <c:v>0.15750222970023972</c:v>
                </c:pt>
                <c:pt idx="5">
                  <c:v>0.16661711777245039</c:v>
                </c:pt>
                <c:pt idx="6">
                  <c:v>0.16757857716660446</c:v>
                </c:pt>
              </c:numCache>
            </c:numRef>
          </c:val>
          <c:smooth val="0"/>
          <c:extLst>
            <c:ext xmlns:c16="http://schemas.microsoft.com/office/drawing/2014/chart" uri="{C3380CC4-5D6E-409C-BE32-E72D297353CC}">
              <c16:uniqueId val="{00000000-A846-404F-A2C0-2A789C315830}"/>
            </c:ext>
          </c:extLst>
        </c:ser>
        <c:dLbls>
          <c:showLegendKey val="0"/>
          <c:showVal val="0"/>
          <c:showCatName val="0"/>
          <c:showSerName val="0"/>
          <c:showPercent val="0"/>
          <c:showBubbleSize val="0"/>
        </c:dLbls>
        <c:smooth val="0"/>
        <c:axId val="1819369392"/>
        <c:axId val="1819382832"/>
      </c:lineChart>
      <c:catAx>
        <c:axId val="1819369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382832"/>
        <c:crosses val="autoZero"/>
        <c:auto val="1"/>
        <c:lblAlgn val="ctr"/>
        <c:lblOffset val="100"/>
        <c:noMultiLvlLbl val="0"/>
      </c:catAx>
      <c:valAx>
        <c:axId val="18193828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36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Nativity and Educational Level Across Several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6-4'!$S$3</c:f>
              <c:strCache>
                <c:ptCount val="1"/>
                <c:pt idx="0">
                  <c:v>2003</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6-4'!$S$4:$S$15</c15:sqref>
                  </c15:fullRef>
                </c:ext>
              </c:extLst>
              <c:f>('Table 6-4'!$S$5:$S$7,'Table 6-4'!$S$9:$S$11,'Table 6-4'!$S$13:$S$15)</c:f>
              <c:numCache>
                <c:formatCode>#,##0</c:formatCode>
                <c:ptCount val="9"/>
                <c:pt idx="0">
                  <c:v>20365000</c:v>
                </c:pt>
                <c:pt idx="1">
                  <c:v>8677000</c:v>
                </c:pt>
                <c:pt idx="2">
                  <c:v>1271000</c:v>
                </c:pt>
                <c:pt idx="3">
                  <c:v>2418000</c:v>
                </c:pt>
                <c:pt idx="4">
                  <c:v>1237000</c:v>
                </c:pt>
                <c:pt idx="5">
                  <c:v>351000</c:v>
                </c:pt>
                <c:pt idx="6">
                  <c:v>17947000</c:v>
                </c:pt>
                <c:pt idx="7">
                  <c:v>7440000</c:v>
                </c:pt>
                <c:pt idx="8">
                  <c:v>920000</c:v>
                </c:pt>
              </c:numCache>
            </c:numRef>
          </c:val>
          <c:extLst>
            <c:ext xmlns:c16="http://schemas.microsoft.com/office/drawing/2014/chart" uri="{C3380CC4-5D6E-409C-BE32-E72D297353CC}">
              <c16:uniqueId val="{00000000-7895-4CCC-8F2C-F5322D2D37D3}"/>
            </c:ext>
          </c:extLst>
        </c:ser>
        <c:ser>
          <c:idx val="1"/>
          <c:order val="1"/>
          <c:tx>
            <c:strRef>
              <c:f>'Table 6-4'!$T$3</c:f>
              <c:strCache>
                <c:ptCount val="1"/>
                <c:pt idx="0">
                  <c:v>2010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6-4'!$T$4:$T$15</c15:sqref>
                  </c15:fullRef>
                </c:ext>
              </c:extLst>
              <c:f>('Table 6-4'!$T$5:$T$7,'Table 6-4'!$T$9:$T$11,'Table 6-4'!$T$13:$T$15)</c:f>
              <c:numCache>
                <c:formatCode>#,##0</c:formatCode>
                <c:ptCount val="9"/>
                <c:pt idx="0">
                  <c:v>25354000</c:v>
                </c:pt>
                <c:pt idx="1">
                  <c:v>11118000</c:v>
                </c:pt>
                <c:pt idx="2">
                  <c:v>1500000</c:v>
                </c:pt>
                <c:pt idx="3">
                  <c:v>3294000</c:v>
                </c:pt>
                <c:pt idx="4">
                  <c:v>1826000</c:v>
                </c:pt>
                <c:pt idx="5">
                  <c:v>499000</c:v>
                </c:pt>
                <c:pt idx="6">
                  <c:v>22060000</c:v>
                </c:pt>
                <c:pt idx="7">
                  <c:v>9292000</c:v>
                </c:pt>
                <c:pt idx="8">
                  <c:v>1001000</c:v>
                </c:pt>
              </c:numCache>
            </c:numRef>
          </c:val>
          <c:extLst>
            <c:ext xmlns:c16="http://schemas.microsoft.com/office/drawing/2014/chart" uri="{C3380CC4-5D6E-409C-BE32-E72D297353CC}">
              <c16:uniqueId val="{00000001-7895-4CCC-8F2C-F5322D2D37D3}"/>
            </c:ext>
          </c:extLst>
        </c:ser>
        <c:ser>
          <c:idx val="2"/>
          <c:order val="2"/>
          <c:tx>
            <c:strRef>
              <c:f>'Table 6-4'!$U$3</c:f>
              <c:strCache>
                <c:ptCount val="1"/>
                <c:pt idx="0">
                  <c:v>2013</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6-4'!$U$4:$U$15</c15:sqref>
                  </c15:fullRef>
                </c:ext>
              </c:extLst>
              <c:f>('Table 6-4'!$U$5:$U$7,'Table 6-4'!$U$9:$U$11,'Table 6-4'!$U$13:$U$15)</c:f>
              <c:numCache>
                <c:formatCode>#,##0</c:formatCode>
                <c:ptCount val="9"/>
                <c:pt idx="0">
                  <c:v>27802000</c:v>
                </c:pt>
                <c:pt idx="1">
                  <c:v>11728000</c:v>
                </c:pt>
                <c:pt idx="2">
                  <c:v>1551000</c:v>
                </c:pt>
                <c:pt idx="3">
                  <c:v>3807000</c:v>
                </c:pt>
                <c:pt idx="4">
                  <c:v>1964000</c:v>
                </c:pt>
                <c:pt idx="5">
                  <c:v>498000</c:v>
                </c:pt>
                <c:pt idx="6">
                  <c:v>23995000</c:v>
                </c:pt>
                <c:pt idx="7">
                  <c:v>9764000</c:v>
                </c:pt>
                <c:pt idx="8">
                  <c:v>1053000</c:v>
                </c:pt>
              </c:numCache>
            </c:numRef>
          </c:val>
          <c:extLst>
            <c:ext xmlns:c16="http://schemas.microsoft.com/office/drawing/2014/chart" uri="{C3380CC4-5D6E-409C-BE32-E72D297353CC}">
              <c16:uniqueId val="{00000002-7895-4CCC-8F2C-F5322D2D37D3}"/>
            </c:ext>
          </c:extLst>
        </c:ser>
        <c:ser>
          <c:idx val="3"/>
          <c:order val="3"/>
          <c:tx>
            <c:strRef>
              <c:f>'Table 6-4'!$V$3</c:f>
              <c:strCache>
                <c:ptCount val="1"/>
                <c:pt idx="0">
                  <c:v>2015</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6-4'!$V$4:$V$15</c15:sqref>
                  </c15:fullRef>
                </c:ext>
              </c:extLst>
              <c:f>('Table 6-4'!$V$5:$V$7,'Table 6-4'!$V$9:$V$11,'Table 6-4'!$V$13:$V$15)</c:f>
              <c:numCache>
                <c:formatCode>#,##0</c:formatCode>
                <c:ptCount val="9"/>
                <c:pt idx="0">
                  <c:v>28509000</c:v>
                </c:pt>
                <c:pt idx="1">
                  <c:v>12888000</c:v>
                </c:pt>
                <c:pt idx="2">
                  <c:v>1641000</c:v>
                </c:pt>
                <c:pt idx="3">
                  <c:v>4072000</c:v>
                </c:pt>
                <c:pt idx="4">
                  <c:v>2291000</c:v>
                </c:pt>
                <c:pt idx="5">
                  <c:v>536000</c:v>
                </c:pt>
                <c:pt idx="6">
                  <c:v>24437000</c:v>
                </c:pt>
                <c:pt idx="7">
                  <c:v>10597000</c:v>
                </c:pt>
                <c:pt idx="8">
                  <c:v>1105000</c:v>
                </c:pt>
              </c:numCache>
            </c:numRef>
          </c:val>
          <c:extLst>
            <c:ext xmlns:c16="http://schemas.microsoft.com/office/drawing/2014/chart" uri="{C3380CC4-5D6E-409C-BE32-E72D297353CC}">
              <c16:uniqueId val="{00000003-7895-4CCC-8F2C-F5322D2D37D3}"/>
            </c:ext>
          </c:extLst>
        </c:ser>
        <c:ser>
          <c:idx val="4"/>
          <c:order val="4"/>
          <c:tx>
            <c:strRef>
              <c:f>'Table 6-4'!$W$3</c:f>
              <c:strCache>
                <c:ptCount val="1"/>
                <c:pt idx="0">
                  <c:v>2017</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6-4'!$W$4:$W$15</c15:sqref>
                  </c15:fullRef>
                </c:ext>
              </c:extLst>
              <c:f>('Table 6-4'!$W$5:$W$7,'Table 6-4'!$W$9:$W$11,'Table 6-4'!$W$13:$W$15)</c:f>
              <c:numCache>
                <c:formatCode>#,##0</c:formatCode>
                <c:ptCount val="9"/>
                <c:pt idx="0">
                  <c:v>30131000</c:v>
                </c:pt>
                <c:pt idx="1">
                  <c:v>13260000</c:v>
                </c:pt>
                <c:pt idx="2">
                  <c:v>1796000</c:v>
                </c:pt>
                <c:pt idx="3">
                  <c:v>4464000</c:v>
                </c:pt>
                <c:pt idx="4">
                  <c:v>2559000</c:v>
                </c:pt>
                <c:pt idx="5">
                  <c:v>599000</c:v>
                </c:pt>
                <c:pt idx="6">
                  <c:v>25667000</c:v>
                </c:pt>
                <c:pt idx="7">
                  <c:v>10701000</c:v>
                </c:pt>
                <c:pt idx="8">
                  <c:v>1197000</c:v>
                </c:pt>
              </c:numCache>
            </c:numRef>
          </c:val>
          <c:extLst>
            <c:ext xmlns:c16="http://schemas.microsoft.com/office/drawing/2014/chart" uri="{C3380CC4-5D6E-409C-BE32-E72D297353CC}">
              <c16:uniqueId val="{00000004-7895-4CCC-8F2C-F5322D2D37D3}"/>
            </c:ext>
          </c:extLst>
        </c:ser>
        <c:ser>
          <c:idx val="5"/>
          <c:order val="5"/>
          <c:tx>
            <c:strRef>
              <c:f>'Table 6-4'!$X$3</c:f>
              <c:strCache>
                <c:ptCount val="1"/>
                <c:pt idx="0">
                  <c:v>2019</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6-4'!$X$4:$X$15</c15:sqref>
                  </c15:fullRef>
                </c:ext>
              </c:extLst>
              <c:f>('Table 6-4'!$X$5:$X$7,'Table 6-4'!$X$9:$X$11,'Table 6-4'!$X$13:$X$15)</c:f>
              <c:numCache>
                <c:formatCode>#,##0</c:formatCode>
                <c:ptCount val="9"/>
                <c:pt idx="0">
                  <c:v>31373000</c:v>
                </c:pt>
                <c:pt idx="1">
                  <c:v>14158000</c:v>
                </c:pt>
                <c:pt idx="2">
                  <c:v>2090000</c:v>
                </c:pt>
                <c:pt idx="3">
                  <c:v>4672000</c:v>
                </c:pt>
                <c:pt idx="4">
                  <c:v>2706000</c:v>
                </c:pt>
                <c:pt idx="5">
                  <c:v>753000</c:v>
                </c:pt>
                <c:pt idx="6">
                  <c:v>26701000</c:v>
                </c:pt>
                <c:pt idx="7">
                  <c:v>11452000</c:v>
                </c:pt>
                <c:pt idx="8">
                  <c:v>1337000</c:v>
                </c:pt>
              </c:numCache>
            </c:numRef>
          </c:val>
          <c:extLst>
            <c:ext xmlns:c16="http://schemas.microsoft.com/office/drawing/2014/chart" uri="{C3380CC4-5D6E-409C-BE32-E72D297353CC}">
              <c16:uniqueId val="{00000005-7895-4CCC-8F2C-F5322D2D37D3}"/>
            </c:ext>
          </c:extLst>
        </c:ser>
        <c:ser>
          <c:idx val="6"/>
          <c:order val="6"/>
          <c:tx>
            <c:strRef>
              <c:f>'Table 6-4'!$Y$3</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6-4'!$R$4:$R$15</c15:sqref>
                  </c15:fullRef>
                </c:ext>
              </c:extLst>
              <c:f>('Table 6-4'!$R$5:$R$7,'Table 6-4'!$R$9:$R$11,'Table 6-4'!$R$13:$R$15)</c:f>
              <c:strCache>
                <c:ptCount val="9"/>
                <c:pt idx="0">
                  <c:v>All Bachelor's</c:v>
                </c:pt>
                <c:pt idx="1">
                  <c:v>All Master's</c:v>
                </c:pt>
                <c:pt idx="2">
                  <c:v>All Doctorate</c:v>
                </c:pt>
                <c:pt idx="3">
                  <c:v>Foreign-born Bachelor's</c:v>
                </c:pt>
                <c:pt idx="4">
                  <c:v>Foreign-born Master's</c:v>
                </c:pt>
                <c:pt idx="5">
                  <c:v>Foreign-born Doctorate</c:v>
                </c:pt>
                <c:pt idx="6">
                  <c:v>U.S.-born Bachelor's</c:v>
                </c:pt>
                <c:pt idx="7">
                  <c:v>U.S.-born Master's</c:v>
                </c:pt>
                <c:pt idx="8">
                  <c:v>U.S.-born Doctorate</c:v>
                </c:pt>
              </c:strCache>
            </c:strRef>
          </c:cat>
          <c:val>
            <c:numRef>
              <c:extLst>
                <c:ext xmlns:c15="http://schemas.microsoft.com/office/drawing/2012/chart" uri="{02D57815-91ED-43cb-92C2-25804820EDAC}">
                  <c15:fullRef>
                    <c15:sqref>'Table 6-4'!$Y$4:$Y$15</c15:sqref>
                  </c15:fullRef>
                </c:ext>
              </c:extLst>
              <c:f>('Table 6-4'!$Y$5:$Y$7,'Table 6-4'!$Y$9:$Y$11,'Table 6-4'!$Y$13:$Y$15)</c:f>
              <c:numCache>
                <c:formatCode>#,##0</c:formatCode>
                <c:ptCount val="9"/>
                <c:pt idx="0">
                  <c:v>31688000</c:v>
                </c:pt>
                <c:pt idx="1">
                  <c:v>14688000</c:v>
                </c:pt>
                <c:pt idx="2">
                  <c:v>2141000</c:v>
                </c:pt>
                <c:pt idx="3">
                  <c:v>5036000</c:v>
                </c:pt>
                <c:pt idx="4">
                  <c:v>2980000</c:v>
                </c:pt>
                <c:pt idx="5">
                  <c:v>770000</c:v>
                </c:pt>
                <c:pt idx="6">
                  <c:v>26652000</c:v>
                </c:pt>
                <c:pt idx="7">
                  <c:v>11708000</c:v>
                </c:pt>
                <c:pt idx="8">
                  <c:v>1371000</c:v>
                </c:pt>
              </c:numCache>
            </c:numRef>
          </c:val>
          <c:extLst>
            <c:ext xmlns:c16="http://schemas.microsoft.com/office/drawing/2014/chart" uri="{C3380CC4-5D6E-409C-BE32-E72D297353CC}">
              <c16:uniqueId val="{00000006-7895-4CCC-8F2C-F5322D2D37D3}"/>
            </c:ext>
          </c:extLst>
        </c:ser>
        <c:dLbls>
          <c:showLegendKey val="0"/>
          <c:showVal val="0"/>
          <c:showCatName val="0"/>
          <c:showSerName val="0"/>
          <c:showPercent val="0"/>
          <c:showBubbleSize val="0"/>
        </c:dLbls>
        <c:gapWidth val="100"/>
        <c:overlap val="-24"/>
        <c:axId val="855886415"/>
        <c:axId val="277934207"/>
      </c:barChart>
      <c:catAx>
        <c:axId val="855886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Nativity and Level of 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934207"/>
        <c:crosses val="autoZero"/>
        <c:auto val="1"/>
        <c:lblAlgn val="ctr"/>
        <c:lblOffset val="100"/>
        <c:noMultiLvlLbl val="0"/>
      </c:catAx>
      <c:valAx>
        <c:axId val="277934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8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6-4'!$J$13:$P$13</c:f>
              <c:numCache>
                <c:formatCode>0.00%</c:formatCode>
                <c:ptCount val="7"/>
                <c:pt idx="0">
                  <c:v>0.1043171363883169</c:v>
                </c:pt>
                <c:pt idx="1">
                  <c:v>0.12987265779471577</c:v>
                </c:pt>
                <c:pt idx="2">
                  <c:v>0.14241222813002632</c:v>
                </c:pt>
                <c:pt idx="3">
                  <c:v>0.14603374619663767</c:v>
                </c:pt>
                <c:pt idx="4">
                  <c:v>0.15434223601848152</c:v>
                </c:pt>
                <c:pt idx="5">
                  <c:v>0.16070422390919056</c:v>
                </c:pt>
                <c:pt idx="6">
                  <c:v>0.16231777156263127</c:v>
                </c:pt>
              </c:numCache>
            </c:numRef>
          </c:val>
          <c:smooth val="0"/>
          <c:extLst>
            <c:ext xmlns:c16="http://schemas.microsoft.com/office/drawing/2014/chart" uri="{C3380CC4-5D6E-409C-BE32-E72D297353CC}">
              <c16:uniqueId val="{00000000-5BBF-4709-BA25-9A5D88C38C0A}"/>
            </c:ext>
          </c:extLst>
        </c:ser>
        <c:dLbls>
          <c:showLegendKey val="0"/>
          <c:showVal val="0"/>
          <c:showCatName val="0"/>
          <c:showSerName val="0"/>
          <c:showPercent val="0"/>
          <c:showBubbleSize val="0"/>
        </c:dLbls>
        <c:smooth val="0"/>
        <c:axId val="852302832"/>
        <c:axId val="852317712"/>
      </c:lineChart>
      <c:catAx>
        <c:axId val="852302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317712"/>
        <c:crosses val="autoZero"/>
        <c:auto val="1"/>
        <c:lblAlgn val="ctr"/>
        <c:lblOffset val="100"/>
        <c:noMultiLvlLbl val="0"/>
      </c:catAx>
      <c:valAx>
        <c:axId val="852317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30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6-4'!$J$58:$P$58</c:f>
              <c:numCache>
                <c:formatCode>0.00%</c:formatCode>
                <c:ptCount val="7"/>
                <c:pt idx="0">
                  <c:v>8.709433418578684E-2</c:v>
                </c:pt>
                <c:pt idx="1">
                  <c:v>0.11864712026798256</c:v>
                </c:pt>
                <c:pt idx="2">
                  <c:v>0.13712495047365197</c:v>
                </c:pt>
                <c:pt idx="3">
                  <c:v>0.14667002845513813</c:v>
                </c:pt>
                <c:pt idx="4">
                  <c:v>0.16078954003529877</c:v>
                </c:pt>
                <c:pt idx="5">
                  <c:v>0.16828152577171054</c:v>
                </c:pt>
                <c:pt idx="6">
                  <c:v>0.18139250081043115</c:v>
                </c:pt>
              </c:numCache>
            </c:numRef>
          </c:val>
          <c:smooth val="0"/>
          <c:extLst>
            <c:ext xmlns:c16="http://schemas.microsoft.com/office/drawing/2014/chart" uri="{C3380CC4-5D6E-409C-BE32-E72D297353CC}">
              <c16:uniqueId val="{00000000-31A8-4970-A617-1A7ADE246184}"/>
            </c:ext>
          </c:extLst>
        </c:ser>
        <c:dLbls>
          <c:showLegendKey val="0"/>
          <c:showVal val="0"/>
          <c:showCatName val="0"/>
          <c:showSerName val="0"/>
          <c:showPercent val="0"/>
          <c:showBubbleSize val="0"/>
        </c:dLbls>
        <c:smooth val="0"/>
        <c:axId val="924867632"/>
        <c:axId val="924885392"/>
      </c:lineChart>
      <c:catAx>
        <c:axId val="924867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85392"/>
        <c:crosses val="autoZero"/>
        <c:auto val="1"/>
        <c:lblAlgn val="ctr"/>
        <c:lblOffset val="100"/>
        <c:noMultiLvlLbl val="0"/>
      </c:catAx>
      <c:valAx>
        <c:axId val="9248853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6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FF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FF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6-4'!$J$103:$P$103</c:f>
              <c:numCache>
                <c:formatCode>0.00%</c:formatCode>
                <c:ptCount val="7"/>
                <c:pt idx="0">
                  <c:v>0.10717250192584453</c:v>
                </c:pt>
                <c:pt idx="1">
                  <c:v>0.13173373781044911</c:v>
                </c:pt>
                <c:pt idx="2">
                  <c:v>0.1432888050209305</c:v>
                </c:pt>
                <c:pt idx="3">
                  <c:v>0.14592825706590867</c:v>
                </c:pt>
                <c:pt idx="4">
                  <c:v>0.15327333854854025</c:v>
                </c:pt>
                <c:pt idx="5">
                  <c:v>0.15944798428271995</c:v>
                </c:pt>
                <c:pt idx="6">
                  <c:v>0.15915537534560698</c:v>
                </c:pt>
              </c:numCache>
            </c:numRef>
          </c:val>
          <c:smooth val="0"/>
          <c:extLst>
            <c:ext xmlns:c16="http://schemas.microsoft.com/office/drawing/2014/chart" uri="{C3380CC4-5D6E-409C-BE32-E72D297353CC}">
              <c16:uniqueId val="{00000000-8E25-46F7-A255-4E15F3561263}"/>
            </c:ext>
          </c:extLst>
        </c:ser>
        <c:dLbls>
          <c:showLegendKey val="0"/>
          <c:showVal val="0"/>
          <c:showCatName val="0"/>
          <c:showSerName val="0"/>
          <c:showPercent val="0"/>
          <c:showBubbleSize val="0"/>
        </c:dLbls>
        <c:smooth val="0"/>
        <c:axId val="924894992"/>
        <c:axId val="924873392"/>
      </c:lineChart>
      <c:catAx>
        <c:axId val="924894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73392"/>
        <c:crosses val="autoZero"/>
        <c:auto val="1"/>
        <c:lblAlgn val="ctr"/>
        <c:lblOffset val="100"/>
        <c:noMultiLvlLbl val="0"/>
      </c:catAx>
      <c:valAx>
        <c:axId val="9248733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89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6-4'!$J$4:$P$4</c:f>
              <c:numCache>
                <c:formatCode>0.00%</c:formatCode>
                <c:ptCount val="7"/>
                <c:pt idx="0">
                  <c:v>0.10390828357066299</c:v>
                </c:pt>
                <c:pt idx="1">
                  <c:v>0.12958390751799112</c:v>
                </c:pt>
                <c:pt idx="2">
                  <c:v>0.13984267340376666</c:v>
                </c:pt>
                <c:pt idx="3">
                  <c:v>0.14654787424080029</c:v>
                </c:pt>
                <c:pt idx="4">
                  <c:v>0.15382725973561986</c:v>
                </c:pt>
                <c:pt idx="5">
                  <c:v>0.16116725361098352</c:v>
                </c:pt>
                <c:pt idx="6">
                  <c:v>0.16512274792017556</c:v>
                </c:pt>
              </c:numCache>
            </c:numRef>
          </c:val>
          <c:smooth val="0"/>
          <c:extLst>
            <c:ext xmlns:c16="http://schemas.microsoft.com/office/drawing/2014/chart" uri="{C3380CC4-5D6E-409C-BE32-E72D297353CC}">
              <c16:uniqueId val="{00000000-BDB0-4BF9-A9FB-0F1324111625}"/>
            </c:ext>
          </c:extLst>
        </c:ser>
        <c:dLbls>
          <c:showLegendKey val="0"/>
          <c:showVal val="0"/>
          <c:showCatName val="0"/>
          <c:showSerName val="0"/>
          <c:showPercent val="0"/>
          <c:showBubbleSize val="0"/>
        </c:dLbls>
        <c:smooth val="0"/>
        <c:axId val="321506336"/>
        <c:axId val="321482816"/>
      </c:lineChart>
      <c:catAx>
        <c:axId val="321506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2816"/>
        <c:crosses val="autoZero"/>
        <c:auto val="1"/>
        <c:lblAlgn val="ctr"/>
        <c:lblOffset val="100"/>
        <c:noMultiLvlLbl val="0"/>
      </c:catAx>
      <c:valAx>
        <c:axId val="3214828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5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6-4'!$J$22:$P$22</c:f>
              <c:numCache>
                <c:formatCode>0.00%</c:formatCode>
                <c:ptCount val="7"/>
                <c:pt idx="0">
                  <c:v>0.10029242807771883</c:v>
                </c:pt>
                <c:pt idx="1">
                  <c:v>0.12850653628766601</c:v>
                </c:pt>
                <c:pt idx="2">
                  <c:v>0.13555717373464174</c:v>
                </c:pt>
                <c:pt idx="3">
                  <c:v>0.14896494330593987</c:v>
                </c:pt>
                <c:pt idx="4">
                  <c:v>0.15326467630639065</c:v>
                </c:pt>
                <c:pt idx="5">
                  <c:v>0.16364413930210248</c:v>
                </c:pt>
                <c:pt idx="6">
                  <c:v>0.16977010298554041</c:v>
                </c:pt>
              </c:numCache>
            </c:numRef>
          </c:val>
          <c:smooth val="0"/>
          <c:extLst>
            <c:ext xmlns:c16="http://schemas.microsoft.com/office/drawing/2014/chart" uri="{C3380CC4-5D6E-409C-BE32-E72D297353CC}">
              <c16:uniqueId val="{00000000-FF72-4BF2-8AFA-C7FB4BD459EA}"/>
            </c:ext>
          </c:extLst>
        </c:ser>
        <c:dLbls>
          <c:showLegendKey val="0"/>
          <c:showVal val="0"/>
          <c:showCatName val="0"/>
          <c:showSerName val="0"/>
          <c:showPercent val="0"/>
          <c:showBubbleSize val="0"/>
        </c:dLbls>
        <c:smooth val="0"/>
        <c:axId val="321490976"/>
        <c:axId val="321484736"/>
      </c:lineChart>
      <c:catAx>
        <c:axId val="321490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4736"/>
        <c:crosses val="autoZero"/>
        <c:auto val="1"/>
        <c:lblAlgn val="ctr"/>
        <c:lblOffset val="100"/>
        <c:noMultiLvlLbl val="0"/>
      </c:catAx>
      <c:valAx>
        <c:axId val="3214847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9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6-4'!$J$31:$P$31</c:f>
              <c:numCache>
                <c:formatCode>0.00%</c:formatCode>
                <c:ptCount val="7"/>
                <c:pt idx="0">
                  <c:v>0.10600500417014179</c:v>
                </c:pt>
                <c:pt idx="1">
                  <c:v>0.12510425354462051</c:v>
                </c:pt>
                <c:pt idx="2">
                  <c:v>0.12935779816513762</c:v>
                </c:pt>
                <c:pt idx="3">
                  <c:v>0.13686405337781485</c:v>
                </c:pt>
                <c:pt idx="4">
                  <c:v>0.14979149291075897</c:v>
                </c:pt>
                <c:pt idx="5">
                  <c:v>0.1743119266055046</c:v>
                </c:pt>
                <c:pt idx="6">
                  <c:v>0.17856547122602168</c:v>
                </c:pt>
              </c:numCache>
            </c:numRef>
          </c:val>
          <c:smooth val="0"/>
          <c:extLst>
            <c:ext xmlns:c16="http://schemas.microsoft.com/office/drawing/2014/chart" uri="{C3380CC4-5D6E-409C-BE32-E72D297353CC}">
              <c16:uniqueId val="{00000000-AB79-4591-BB40-D68D7B227D18}"/>
            </c:ext>
          </c:extLst>
        </c:ser>
        <c:dLbls>
          <c:showLegendKey val="0"/>
          <c:showVal val="0"/>
          <c:showCatName val="0"/>
          <c:showSerName val="0"/>
          <c:showPercent val="0"/>
          <c:showBubbleSize val="0"/>
        </c:dLbls>
        <c:smooth val="0"/>
        <c:axId val="321463616"/>
        <c:axId val="321454496"/>
      </c:lineChart>
      <c:catAx>
        <c:axId val="321463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54496"/>
        <c:crosses val="autoZero"/>
        <c:auto val="1"/>
        <c:lblAlgn val="ctr"/>
        <c:lblOffset val="100"/>
        <c:noMultiLvlLbl val="0"/>
      </c:catAx>
      <c:valAx>
        <c:axId val="3214544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6-4'!$J$49:$P$49</c:f>
              <c:numCache>
                <c:formatCode>0.00%</c:formatCode>
                <c:ptCount val="7"/>
                <c:pt idx="0">
                  <c:v>8.6162811440803955E-2</c:v>
                </c:pt>
                <c:pt idx="1">
                  <c:v>0.11872906384412599</c:v>
                </c:pt>
                <c:pt idx="2">
                  <c:v>0.13288140968464451</c:v>
                </c:pt>
                <c:pt idx="3">
                  <c:v>0.14610215853005887</c:v>
                </c:pt>
                <c:pt idx="4">
                  <c:v>0.1610671740897108</c:v>
                </c:pt>
                <c:pt idx="5">
                  <c:v>0.17050207131672315</c:v>
                </c:pt>
                <c:pt idx="6">
                  <c:v>0.18455531109393272</c:v>
                </c:pt>
              </c:numCache>
            </c:numRef>
          </c:val>
          <c:smooth val="0"/>
          <c:extLst>
            <c:ext xmlns:c16="http://schemas.microsoft.com/office/drawing/2014/chart" uri="{C3380CC4-5D6E-409C-BE32-E72D297353CC}">
              <c16:uniqueId val="{00000000-F87D-46AC-9747-670354E88799}"/>
            </c:ext>
          </c:extLst>
        </c:ser>
        <c:dLbls>
          <c:showLegendKey val="0"/>
          <c:showVal val="0"/>
          <c:showCatName val="0"/>
          <c:showSerName val="0"/>
          <c:showPercent val="0"/>
          <c:showBubbleSize val="0"/>
        </c:dLbls>
        <c:smooth val="0"/>
        <c:axId val="321477536"/>
        <c:axId val="321450176"/>
      </c:lineChart>
      <c:catAx>
        <c:axId val="321477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50176"/>
        <c:crosses val="autoZero"/>
        <c:auto val="1"/>
        <c:lblAlgn val="ctr"/>
        <c:lblOffset val="100"/>
        <c:noMultiLvlLbl val="0"/>
      </c:catAx>
      <c:valAx>
        <c:axId val="3214501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7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Job-Degree Relation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'Table 1-3'!$R$3</c:f>
              <c:strCache>
                <c:ptCount val="1"/>
                <c:pt idx="0">
                  <c:v>P(All Closely Related)</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'Table 1-3'!$R$4:$R$164</c:f>
              <c:numCache>
                <c:formatCode>0.00%</c:formatCode>
                <c:ptCount val="161"/>
                <c:pt idx="1">
                  <c:v>0.54141874661927203</c:v>
                </c:pt>
                <c:pt idx="2">
                  <c:v>0.49341784495368113</c:v>
                </c:pt>
                <c:pt idx="3">
                  <c:v>0.46498054474708173</c:v>
                </c:pt>
                <c:pt idx="4">
                  <c:v>0.4642857142857143</c:v>
                </c:pt>
                <c:pt idx="5">
                  <c:v>0.46979865771812079</c:v>
                </c:pt>
                <c:pt idx="6">
                  <c:v>0.43384615384615383</c:v>
                </c:pt>
                <c:pt idx="7">
                  <c:v>0.63870352716873213</c:v>
                </c:pt>
                <c:pt idx="8">
                  <c:v>0.67669474528680307</c:v>
                </c:pt>
                <c:pt idx="9">
                  <c:v>0.49388379204892968</c:v>
                </c:pt>
                <c:pt idx="10">
                  <c:v>0.49006622516556292</c:v>
                </c:pt>
                <c:pt idx="11">
                  <c:v>0.54255319148936165</c:v>
                </c:pt>
                <c:pt idx="12">
                  <c:v>0.42585551330798477</c:v>
                </c:pt>
                <c:pt idx="13">
                  <c:v>0.48749999999999999</c:v>
                </c:pt>
                <c:pt idx="14">
                  <c:v>0.42307692307692307</c:v>
                </c:pt>
                <c:pt idx="15">
                  <c:v>0.35521302390024245</c:v>
                </c:pt>
                <c:pt idx="16">
                  <c:v>0.34637514384349827</c:v>
                </c:pt>
                <c:pt idx="17">
                  <c:v>0.25697786333012512</c:v>
                </c:pt>
                <c:pt idx="18">
                  <c:v>0.44948630136986301</c:v>
                </c:pt>
                <c:pt idx="19">
                  <c:v>0.24757804090419805</c:v>
                </c:pt>
                <c:pt idx="20">
                  <c:v>0.33833333333333332</c:v>
                </c:pt>
                <c:pt idx="21">
                  <c:v>0.59710795312889553</c:v>
                </c:pt>
                <c:pt idx="22">
                  <c:v>0.55862068965517242</c:v>
                </c:pt>
                <c:pt idx="23">
                  <c:v>0.45724907063197023</c:v>
                </c:pt>
                <c:pt idx="24">
                  <c:v>0.67034990791896865</c:v>
                </c:pt>
                <c:pt idx="25">
                  <c:v>0.6600425833924769</c:v>
                </c:pt>
                <c:pt idx="26">
                  <c:v>0.46956521739130436</c:v>
                </c:pt>
                <c:pt idx="27">
                  <c:v>0.53301886792452835</c:v>
                </c:pt>
                <c:pt idx="28">
                  <c:v>0.59435626102292771</c:v>
                </c:pt>
                <c:pt idx="29">
                  <c:v>0.77703912042955769</c:v>
                </c:pt>
                <c:pt idx="30">
                  <c:v>0.81442489000628537</c:v>
                </c:pt>
                <c:pt idx="31">
                  <c:v>0.69463869463869465</c:v>
                </c:pt>
                <c:pt idx="32">
                  <c:v>0.51844262295081966</c:v>
                </c:pt>
                <c:pt idx="33">
                  <c:v>0.63401109057301297</c:v>
                </c:pt>
                <c:pt idx="34">
                  <c:v>0.50306882149990917</c:v>
                </c:pt>
                <c:pt idx="35">
                  <c:v>0.46244725738396625</c:v>
                </c:pt>
                <c:pt idx="36">
                  <c:v>0.70452281330942423</c:v>
                </c:pt>
                <c:pt idx="37">
                  <c:v>0.6159618008185539</c:v>
                </c:pt>
                <c:pt idx="38">
                  <c:v>0.34725444702242847</c:v>
                </c:pt>
                <c:pt idx="39">
                  <c:v>0.34445426425099424</c:v>
                </c:pt>
                <c:pt idx="40">
                  <c:v>0.52503477051460357</c:v>
                </c:pt>
                <c:pt idx="41">
                  <c:v>0.43660060590759908</c:v>
                </c:pt>
                <c:pt idx="42">
                  <c:v>0.40792827634701589</c:v>
                </c:pt>
                <c:pt idx="43">
                  <c:v>0.35815002820078962</c:v>
                </c:pt>
                <c:pt idx="44">
                  <c:v>0.38493723849372385</c:v>
                </c:pt>
                <c:pt idx="45">
                  <c:v>0.35511145272867023</c:v>
                </c:pt>
                <c:pt idx="46">
                  <c:v>0.34482758620689657</c:v>
                </c:pt>
                <c:pt idx="47">
                  <c:v>0.59212376933895916</c:v>
                </c:pt>
                <c:pt idx="48">
                  <c:v>0.63813459268004724</c:v>
                </c:pt>
                <c:pt idx="49">
                  <c:v>0.41363636363636364</c:v>
                </c:pt>
                <c:pt idx="50">
                  <c:v>0.37717601547388779</c:v>
                </c:pt>
                <c:pt idx="51">
                  <c:v>0.46153846153846156</c:v>
                </c:pt>
                <c:pt idx="52">
                  <c:v>0.29651162790697677</c:v>
                </c:pt>
                <c:pt idx="53">
                  <c:v>0.35849056603773582</c:v>
                </c:pt>
                <c:pt idx="54">
                  <c:v>0.29411764705882354</c:v>
                </c:pt>
                <c:pt idx="55">
                  <c:v>0.24828564672499409</c:v>
                </c:pt>
                <c:pt idx="56">
                  <c:v>0.29411764705882354</c:v>
                </c:pt>
                <c:pt idx="57">
                  <c:v>0.18018018018018017</c:v>
                </c:pt>
                <c:pt idx="58">
                  <c:v>0.28665351742274819</c:v>
                </c:pt>
                <c:pt idx="59">
                  <c:v>0.19875000000000001</c:v>
                </c:pt>
                <c:pt idx="60">
                  <c:v>0.25659472422062352</c:v>
                </c:pt>
                <c:pt idx="61">
                  <c:v>0.54972477064220182</c:v>
                </c:pt>
                <c:pt idx="62">
                  <c:v>0.46511627906976744</c:v>
                </c:pt>
                <c:pt idx="63">
                  <c:v>0.41584158415841582</c:v>
                </c:pt>
                <c:pt idx="64">
                  <c:v>0.61772151898734173</c:v>
                </c:pt>
                <c:pt idx="65">
                  <c:v>0.61904761904761907</c:v>
                </c:pt>
                <c:pt idx="66">
                  <c:v>0.42207792207792205</c:v>
                </c:pt>
                <c:pt idx="67">
                  <c:v>0.5060606060606061</c:v>
                </c:pt>
                <c:pt idx="68">
                  <c:v>0.52302631578947367</c:v>
                </c:pt>
                <c:pt idx="69">
                  <c:v>0.69405914682020409</c:v>
                </c:pt>
                <c:pt idx="70">
                  <c:v>0.7414148351648352</c:v>
                </c:pt>
                <c:pt idx="71">
                  <c:v>0.63157894736842102</c:v>
                </c:pt>
                <c:pt idx="72">
                  <c:v>0.47328244274809161</c:v>
                </c:pt>
                <c:pt idx="73">
                  <c:v>0.57558139534883723</c:v>
                </c:pt>
                <c:pt idx="74">
                  <c:v>0.39676187011096964</c:v>
                </c:pt>
                <c:pt idx="75">
                  <c:v>0.42139702273842633</c:v>
                </c:pt>
                <c:pt idx="76">
                  <c:v>0.59387755102040818</c:v>
                </c:pt>
                <c:pt idx="77">
                  <c:v>0.4059040590405904</c:v>
                </c:pt>
                <c:pt idx="78">
                  <c:v>0.31261595547309834</c:v>
                </c:pt>
                <c:pt idx="79">
                  <c:v>0.28433535576392721</c:v>
                </c:pt>
                <c:pt idx="80">
                  <c:v>0.3827238335435057</c:v>
                </c:pt>
                <c:pt idx="81">
                  <c:v>0.6576797385620915</c:v>
                </c:pt>
                <c:pt idx="82">
                  <c:v>0.64701086956521736</c:v>
                </c:pt>
                <c:pt idx="83">
                  <c:v>0.60191846522781778</c:v>
                </c:pt>
                <c:pt idx="84">
                  <c:v>0.67391304347826086</c:v>
                </c:pt>
                <c:pt idx="85">
                  <c:v>0.57692307692307687</c:v>
                </c:pt>
                <c:pt idx="86">
                  <c:v>0.63953488372093026</c:v>
                </c:pt>
                <c:pt idx="87">
                  <c:v>0.72522522522522526</c:v>
                </c:pt>
                <c:pt idx="88">
                  <c:v>0.74863387978142082</c:v>
                </c:pt>
                <c:pt idx="89">
                  <c:v>0.60897435897435892</c:v>
                </c:pt>
                <c:pt idx="90">
                  <c:v>0.56321839080459768</c:v>
                </c:pt>
                <c:pt idx="91">
                  <c:v>0.50877192982456143</c:v>
                </c:pt>
                <c:pt idx="92">
                  <c:v>0.61016949152542377</c:v>
                </c:pt>
                <c:pt idx="93">
                  <c:v>0.55769230769230771</c:v>
                </c:pt>
                <c:pt idx="94">
                  <c:v>0.66666666666666663</c:v>
                </c:pt>
                <c:pt idx="95">
                  <c:v>0.591801878736123</c:v>
                </c:pt>
                <c:pt idx="96">
                  <c:v>0.5</c:v>
                </c:pt>
                <c:pt idx="97">
                  <c:v>0.45021645021645024</c:v>
                </c:pt>
                <c:pt idx="98">
                  <c:v>0.72259136212624586</c:v>
                </c:pt>
                <c:pt idx="99">
                  <c:v>0.41463414634146339</c:v>
                </c:pt>
                <c:pt idx="100">
                  <c:v>0.44366197183098594</c:v>
                </c:pt>
                <c:pt idx="101">
                  <c:v>0.67572815533980579</c:v>
                </c:pt>
                <c:pt idx="102">
                  <c:v>0.66666666666666663</c:v>
                </c:pt>
                <c:pt idx="103">
                  <c:v>0.42105263157894735</c:v>
                </c:pt>
                <c:pt idx="104">
                  <c:v>0.80158730158730163</c:v>
                </c:pt>
                <c:pt idx="105">
                  <c:v>0.72167487684729059</c:v>
                </c:pt>
                <c:pt idx="106">
                  <c:v>0.53030303030303028</c:v>
                </c:pt>
                <c:pt idx="107">
                  <c:v>0.60377358490566035</c:v>
                </c:pt>
                <c:pt idx="108">
                  <c:v>0.6542553191489362</c:v>
                </c:pt>
                <c:pt idx="109">
                  <c:v>0.78365384615384615</c:v>
                </c:pt>
                <c:pt idx="110">
                  <c:v>0.80204996796925043</c:v>
                </c:pt>
                <c:pt idx="111">
                  <c:v>0.72540983606557374</c:v>
                </c:pt>
                <c:pt idx="112">
                  <c:v>0.70930232558139539</c:v>
                </c:pt>
                <c:pt idx="113">
                  <c:v>0.7407407407407407</c:v>
                </c:pt>
                <c:pt idx="114">
                  <c:v>0.63272849462365588</c:v>
                </c:pt>
                <c:pt idx="115">
                  <c:v>0.53367562669888247</c:v>
                </c:pt>
                <c:pt idx="116">
                  <c:v>0.77319944598337953</c:v>
                </c:pt>
                <c:pt idx="117">
                  <c:v>0.72651605231866823</c:v>
                </c:pt>
                <c:pt idx="118">
                  <c:v>0.51428571428571423</c:v>
                </c:pt>
                <c:pt idx="119">
                  <c:v>0.55675675675675673</c:v>
                </c:pt>
                <c:pt idx="120">
                  <c:v>0.55117270788912576</c:v>
                </c:pt>
                <c:pt idx="121">
                  <c:v>0.7972909855207847</c:v>
                </c:pt>
                <c:pt idx="122">
                  <c:v>0.7910906298003072</c:v>
                </c:pt>
                <c:pt idx="123">
                  <c:v>0.81315789473684208</c:v>
                </c:pt>
                <c:pt idx="124">
                  <c:v>0.86956521739130432</c:v>
                </c:pt>
                <c:pt idx="125">
                  <c:v>0.80857142857142861</c:v>
                </c:pt>
                <c:pt idx="126">
                  <c:v>0.8571428571428571</c:v>
                </c:pt>
                <c:pt idx="127">
                  <c:v>0.81889763779527558</c:v>
                </c:pt>
                <c:pt idx="128">
                  <c:v>0.8529411764705882</c:v>
                </c:pt>
                <c:pt idx="129">
                  <c:v>0.77966101694915257</c:v>
                </c:pt>
                <c:pt idx="130">
                  <c:v>0.70232558139534884</c:v>
                </c:pt>
                <c:pt idx="131">
                  <c:v>0.75257731958762886</c:v>
                </c:pt>
                <c:pt idx="132">
                  <c:v>0.75757575757575757</c:v>
                </c:pt>
                <c:pt idx="133">
                  <c:v>0.62195121951219512</c:v>
                </c:pt>
                <c:pt idx="134">
                  <c:v>1</c:v>
                </c:pt>
                <c:pt idx="135">
                  <c:v>0.81230769230769229</c:v>
                </c:pt>
                <c:pt idx="136">
                  <c:v>0.80952380952380953</c:v>
                </c:pt>
                <c:pt idx="137">
                  <c:v>0.75</c:v>
                </c:pt>
                <c:pt idx="138">
                  <c:v>0.81818181818181823</c:v>
                </c:pt>
                <c:pt idx="139">
                  <c:v>0.80434782608695654</c:v>
                </c:pt>
                <c:pt idx="140">
                  <c:v>0.85</c:v>
                </c:pt>
                <c:pt idx="141">
                  <c:v>0.78515625</c:v>
                </c:pt>
                <c:pt idx="142">
                  <c:v>0.90909090909090906</c:v>
                </c:pt>
                <c:pt idx="143">
                  <c:v>0.73333333333333328</c:v>
                </c:pt>
                <c:pt idx="144">
                  <c:v>0.86363636363636365</c:v>
                </c:pt>
                <c:pt idx="145">
                  <c:v>0.810126582278481</c:v>
                </c:pt>
                <c:pt idx="146">
                  <c:v>0.72727272727272729</c:v>
                </c:pt>
                <c:pt idx="147">
                  <c:v>0.75862068965517238</c:v>
                </c:pt>
                <c:pt idx="148">
                  <c:v>0.7466666666666667</c:v>
                </c:pt>
                <c:pt idx="149">
                  <c:v>0.84539473684210531</c:v>
                </c:pt>
                <c:pt idx="150">
                  <c:v>0.84727272727272729</c:v>
                </c:pt>
                <c:pt idx="151">
                  <c:v>0.9285714285714286</c:v>
                </c:pt>
                <c:pt idx="152">
                  <c:v>0.66666666666666663</c:v>
                </c:pt>
                <c:pt idx="153">
                  <c:v>0.7142857142857143</c:v>
                </c:pt>
                <c:pt idx="154">
                  <c:v>0.7865168539325843</c:v>
                </c:pt>
                <c:pt idx="155">
                  <c:v>0.7321428571428571</c:v>
                </c:pt>
                <c:pt idx="156">
                  <c:v>0.8128654970760234</c:v>
                </c:pt>
                <c:pt idx="157">
                  <c:v>0.86746987951807231</c:v>
                </c:pt>
                <c:pt idx="158">
                  <c:v>1</c:v>
                </c:pt>
                <c:pt idx="159">
                  <c:v>0.72499999999999998</c:v>
                </c:pt>
                <c:pt idx="160">
                  <c:v>0.81666666666666665</c:v>
                </c:pt>
              </c:numCache>
            </c:numRef>
          </c:val>
          <c:smooth val="0"/>
          <c:extLst>
            <c:ext xmlns:c16="http://schemas.microsoft.com/office/drawing/2014/chart" uri="{C3380CC4-5D6E-409C-BE32-E72D297353CC}">
              <c16:uniqueId val="{00000000-08F4-4847-96C6-530A8974B761}"/>
            </c:ext>
          </c:extLst>
        </c:ser>
        <c:ser>
          <c:idx val="1"/>
          <c:order val="1"/>
          <c:tx>
            <c:strRef>
              <c:f>'Table 1-3'!$S$3</c:f>
              <c:strCache>
                <c:ptCount val="1"/>
                <c:pt idx="0">
                  <c:v>P(All Somewhat Related)</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'Table 1-3'!$S$4:$S$164</c:f>
              <c:numCache>
                <c:formatCode>0.00%</c:formatCode>
                <c:ptCount val="161"/>
                <c:pt idx="1">
                  <c:v>0.26106946912912449</c:v>
                </c:pt>
                <c:pt idx="2">
                  <c:v>0.28790833739639199</c:v>
                </c:pt>
                <c:pt idx="3">
                  <c:v>0.27587548638132298</c:v>
                </c:pt>
                <c:pt idx="4">
                  <c:v>0.25974025974025972</c:v>
                </c:pt>
                <c:pt idx="5">
                  <c:v>0.27000516262261226</c:v>
                </c:pt>
                <c:pt idx="6">
                  <c:v>0.32615384615384613</c:v>
                </c:pt>
                <c:pt idx="7">
                  <c:v>0.25135049253257069</c:v>
                </c:pt>
                <c:pt idx="8">
                  <c:v>0.2278379462494986</c:v>
                </c:pt>
                <c:pt idx="9">
                  <c:v>0.34097859327217123</c:v>
                </c:pt>
                <c:pt idx="10">
                  <c:v>0.26821192052980131</c:v>
                </c:pt>
                <c:pt idx="11">
                  <c:v>0.28723404255319152</c:v>
                </c:pt>
                <c:pt idx="12">
                  <c:v>0.22053231939163498</c:v>
                </c:pt>
                <c:pt idx="13">
                  <c:v>0.29583333333333334</c:v>
                </c:pt>
                <c:pt idx="14">
                  <c:v>0.26923076923076922</c:v>
                </c:pt>
                <c:pt idx="15">
                  <c:v>0.31174229303775547</c:v>
                </c:pt>
                <c:pt idx="16">
                  <c:v>0.42232451093210588</c:v>
                </c:pt>
                <c:pt idx="17">
                  <c:v>0.32242540904716072</c:v>
                </c:pt>
                <c:pt idx="18">
                  <c:v>0.2773972602739726</c:v>
                </c:pt>
                <c:pt idx="19">
                  <c:v>0.32508073196986004</c:v>
                </c:pt>
                <c:pt idx="20">
                  <c:v>0.24833333333333332</c:v>
                </c:pt>
                <c:pt idx="21">
                  <c:v>0.29444028920468712</c:v>
                </c:pt>
                <c:pt idx="22">
                  <c:v>0.33103448275862069</c:v>
                </c:pt>
                <c:pt idx="23">
                  <c:v>0.35315985130111527</c:v>
                </c:pt>
                <c:pt idx="24">
                  <c:v>0.20441988950276244</c:v>
                </c:pt>
                <c:pt idx="25">
                  <c:v>0.27111426543647976</c:v>
                </c:pt>
                <c:pt idx="26">
                  <c:v>0.41304347826086957</c:v>
                </c:pt>
                <c:pt idx="27">
                  <c:v>0.34787735849056606</c:v>
                </c:pt>
                <c:pt idx="28">
                  <c:v>0.27336860670194002</c:v>
                </c:pt>
                <c:pt idx="29">
                  <c:v>0.1312963436461263</c:v>
                </c:pt>
                <c:pt idx="30">
                  <c:v>0.10983658076681332</c:v>
                </c:pt>
                <c:pt idx="31">
                  <c:v>0.16317016317016317</c:v>
                </c:pt>
                <c:pt idx="32">
                  <c:v>0.28688524590163933</c:v>
                </c:pt>
                <c:pt idx="33">
                  <c:v>0.21811460258780038</c:v>
                </c:pt>
                <c:pt idx="34">
                  <c:v>0.28193208643544582</c:v>
                </c:pt>
                <c:pt idx="35">
                  <c:v>0.36751054852320675</c:v>
                </c:pt>
                <c:pt idx="36">
                  <c:v>0.14245865710300856</c:v>
                </c:pt>
                <c:pt idx="37">
                  <c:v>0.15825375170532061</c:v>
                </c:pt>
                <c:pt idx="38">
                  <c:v>0.46249033255993816</c:v>
                </c:pt>
                <c:pt idx="39">
                  <c:v>0.26115775519222273</c:v>
                </c:pt>
                <c:pt idx="40">
                  <c:v>0.26999304589707929</c:v>
                </c:pt>
                <c:pt idx="41">
                  <c:v>0.30292224185811661</c:v>
                </c:pt>
                <c:pt idx="42">
                  <c:v>0.31519732794233979</c:v>
                </c:pt>
                <c:pt idx="43">
                  <c:v>0.30569655950366609</c:v>
                </c:pt>
                <c:pt idx="44">
                  <c:v>0.28870292887029286</c:v>
                </c:pt>
                <c:pt idx="45">
                  <c:v>0.30053804765564951</c:v>
                </c:pt>
                <c:pt idx="46">
                  <c:v>0.35344827586206895</c:v>
                </c:pt>
                <c:pt idx="47">
                  <c:v>0.27519924988279421</c:v>
                </c:pt>
                <c:pt idx="48">
                  <c:v>0.24793388429752067</c:v>
                </c:pt>
                <c:pt idx="49">
                  <c:v>0.37954545454545452</c:v>
                </c:pt>
                <c:pt idx="50">
                  <c:v>0.26499032882011603</c:v>
                </c:pt>
                <c:pt idx="51">
                  <c:v>0.30769230769230771</c:v>
                </c:pt>
                <c:pt idx="52">
                  <c:v>0.20348837209302326</c:v>
                </c:pt>
                <c:pt idx="53">
                  <c:v>0.27358490566037735</c:v>
                </c:pt>
                <c:pt idx="54">
                  <c:v>0.29411764705882354</c:v>
                </c:pt>
                <c:pt idx="55">
                  <c:v>0.34428943012532515</c:v>
                </c:pt>
                <c:pt idx="56">
                  <c:v>0.44817927170868349</c:v>
                </c:pt>
                <c:pt idx="57">
                  <c:v>0.31531531531531531</c:v>
                </c:pt>
                <c:pt idx="58">
                  <c:v>0.34056541748849439</c:v>
                </c:pt>
                <c:pt idx="59">
                  <c:v>0.33250000000000002</c:v>
                </c:pt>
                <c:pt idx="60">
                  <c:v>0.25659472422062352</c:v>
                </c:pt>
                <c:pt idx="61">
                  <c:v>0.31706422018348623</c:v>
                </c:pt>
                <c:pt idx="62">
                  <c:v>0.39534883720930231</c:v>
                </c:pt>
                <c:pt idx="63">
                  <c:v>0.36138613861386137</c:v>
                </c:pt>
                <c:pt idx="64">
                  <c:v>0.22531645569620254</c:v>
                </c:pt>
                <c:pt idx="65">
                  <c:v>0.29545454545454547</c:v>
                </c:pt>
                <c:pt idx="66">
                  <c:v>0.42857142857142855</c:v>
                </c:pt>
                <c:pt idx="67">
                  <c:v>0.35606060606060608</c:v>
                </c:pt>
                <c:pt idx="68">
                  <c:v>0.30263157894736842</c:v>
                </c:pt>
                <c:pt idx="69">
                  <c:v>0.17508505626799267</c:v>
                </c:pt>
                <c:pt idx="70">
                  <c:v>0.14903846153846154</c:v>
                </c:pt>
                <c:pt idx="71">
                  <c:v>0.17543859649122806</c:v>
                </c:pt>
                <c:pt idx="72">
                  <c:v>0.31043256997455471</c:v>
                </c:pt>
                <c:pt idx="73">
                  <c:v>0.23837209302325582</c:v>
                </c:pt>
                <c:pt idx="74">
                  <c:v>0.32405554544903281</c:v>
                </c:pt>
                <c:pt idx="75">
                  <c:v>0.38279077376083753</c:v>
                </c:pt>
                <c:pt idx="76">
                  <c:v>0.14846938775510204</c:v>
                </c:pt>
                <c:pt idx="77">
                  <c:v>0.20664206642066421</c:v>
                </c:pt>
                <c:pt idx="78">
                  <c:v>0.48794063079777367</c:v>
                </c:pt>
                <c:pt idx="79">
                  <c:v>0.27799227799227799</c:v>
                </c:pt>
                <c:pt idx="80">
                  <c:v>0.33669609079445145</c:v>
                </c:pt>
                <c:pt idx="81">
                  <c:v>0.22657952069716775</c:v>
                </c:pt>
                <c:pt idx="82">
                  <c:v>0.24972826086956521</c:v>
                </c:pt>
                <c:pt idx="83">
                  <c:v>0.25659472422062352</c:v>
                </c:pt>
                <c:pt idx="84">
                  <c:v>0.17391304347826086</c:v>
                </c:pt>
                <c:pt idx="85">
                  <c:v>0.26573426573426573</c:v>
                </c:pt>
                <c:pt idx="86">
                  <c:v>0.26744186046511625</c:v>
                </c:pt>
                <c:pt idx="87">
                  <c:v>0.2072072072072072</c:v>
                </c:pt>
                <c:pt idx="88">
                  <c:v>0.18989071038251365</c:v>
                </c:pt>
                <c:pt idx="89">
                  <c:v>0.28846153846153844</c:v>
                </c:pt>
                <c:pt idx="90">
                  <c:v>0.33908045977011492</c:v>
                </c:pt>
                <c:pt idx="91">
                  <c:v>0.38596491228070173</c:v>
                </c:pt>
                <c:pt idx="92">
                  <c:v>0.2711864406779661</c:v>
                </c:pt>
                <c:pt idx="93">
                  <c:v>0.36538461538461536</c:v>
                </c:pt>
                <c:pt idx="94">
                  <c:v>0</c:v>
                </c:pt>
                <c:pt idx="95">
                  <c:v>0.25192143467122119</c:v>
                </c:pt>
                <c:pt idx="96">
                  <c:v>0.35964912280701755</c:v>
                </c:pt>
                <c:pt idx="97">
                  <c:v>0.36363636363636365</c:v>
                </c:pt>
                <c:pt idx="98">
                  <c:v>0.17275747508305647</c:v>
                </c:pt>
                <c:pt idx="99">
                  <c:v>0.34146341463414637</c:v>
                </c:pt>
                <c:pt idx="100">
                  <c:v>0.26760563380281688</c:v>
                </c:pt>
                <c:pt idx="101">
                  <c:v>0.26601941747572816</c:v>
                </c:pt>
                <c:pt idx="102">
                  <c:v>0.27083333333333331</c:v>
                </c:pt>
                <c:pt idx="103">
                  <c:v>0.42105263157894735</c:v>
                </c:pt>
                <c:pt idx="104">
                  <c:v>0.15873015873015872</c:v>
                </c:pt>
                <c:pt idx="105">
                  <c:v>0.23399014778325122</c:v>
                </c:pt>
                <c:pt idx="106">
                  <c:v>0.39393939393939392</c:v>
                </c:pt>
                <c:pt idx="107">
                  <c:v>0.34591194968553457</c:v>
                </c:pt>
                <c:pt idx="108">
                  <c:v>0.25531914893617019</c:v>
                </c:pt>
                <c:pt idx="109">
                  <c:v>0.13798076923076924</c:v>
                </c:pt>
                <c:pt idx="110">
                  <c:v>0.12556053811659193</c:v>
                </c:pt>
                <c:pt idx="111">
                  <c:v>0.16393442622950818</c:v>
                </c:pt>
                <c:pt idx="112">
                  <c:v>0.18604651162790697</c:v>
                </c:pt>
                <c:pt idx="113">
                  <c:v>0.18518518518518517</c:v>
                </c:pt>
                <c:pt idx="114">
                  <c:v>0.23767921146953405</c:v>
                </c:pt>
                <c:pt idx="115">
                  <c:v>0.34279673814557537</c:v>
                </c:pt>
                <c:pt idx="116">
                  <c:v>0.1371191135734072</c:v>
                </c:pt>
                <c:pt idx="117">
                  <c:v>0.13198573127229488</c:v>
                </c:pt>
                <c:pt idx="118">
                  <c:v>0.33809523809523812</c:v>
                </c:pt>
                <c:pt idx="119">
                  <c:v>0.20270270270270271</c:v>
                </c:pt>
                <c:pt idx="120">
                  <c:v>0.27718550106609807</c:v>
                </c:pt>
                <c:pt idx="121">
                  <c:v>0.14946286781877627</c:v>
                </c:pt>
                <c:pt idx="122">
                  <c:v>0.16666666666666666</c:v>
                </c:pt>
                <c:pt idx="123">
                  <c:v>0.15526315789473685</c:v>
                </c:pt>
                <c:pt idx="124">
                  <c:v>8.6956521739130432E-2</c:v>
                </c:pt>
                <c:pt idx="125">
                  <c:v>0.16</c:v>
                </c:pt>
                <c:pt idx="126">
                  <c:v>0</c:v>
                </c:pt>
                <c:pt idx="127">
                  <c:v>0.15748031496062992</c:v>
                </c:pt>
                <c:pt idx="128">
                  <c:v>0.14705882352941177</c:v>
                </c:pt>
                <c:pt idx="129">
                  <c:v>0.1864406779661017</c:v>
                </c:pt>
                <c:pt idx="130">
                  <c:v>0.21395348837209302</c:v>
                </c:pt>
                <c:pt idx="131">
                  <c:v>0.18556701030927836</c:v>
                </c:pt>
                <c:pt idx="132">
                  <c:v>0.18181818181818182</c:v>
                </c:pt>
                <c:pt idx="133">
                  <c:v>0.26829268292682928</c:v>
                </c:pt>
                <c:pt idx="134">
                  <c:v>0</c:v>
                </c:pt>
                <c:pt idx="135">
                  <c:v>0.14153846153846153</c:v>
                </c:pt>
                <c:pt idx="136">
                  <c:v>0.11904761904761904</c:v>
                </c:pt>
                <c:pt idx="137">
                  <c:v>0.1875</c:v>
                </c:pt>
                <c:pt idx="138">
                  <c:v>0.1393939393939394</c:v>
                </c:pt>
                <c:pt idx="139">
                  <c:v>0.17391304347826086</c:v>
                </c:pt>
                <c:pt idx="140">
                  <c:v>0.1</c:v>
                </c:pt>
                <c:pt idx="141">
                  <c:v>0.171875</c:v>
                </c:pt>
                <c:pt idx="142">
                  <c:v>0</c:v>
                </c:pt>
                <c:pt idx="143">
                  <c:v>0.16666666666666666</c:v>
                </c:pt>
                <c:pt idx="144">
                  <c:v>9.0909090909090912E-2</c:v>
                </c:pt>
                <c:pt idx="145">
                  <c:v>0.17721518987341772</c:v>
                </c:pt>
                <c:pt idx="146">
                  <c:v>0.18181818181818182</c:v>
                </c:pt>
                <c:pt idx="147">
                  <c:v>0.17241379310344829</c:v>
                </c:pt>
                <c:pt idx="148">
                  <c:v>0.2</c:v>
                </c:pt>
                <c:pt idx="149">
                  <c:v>8.5526315789473686E-2</c:v>
                </c:pt>
                <c:pt idx="150">
                  <c:v>8.727272727272728E-2</c:v>
                </c:pt>
                <c:pt idx="151">
                  <c:v>0</c:v>
                </c:pt>
                <c:pt idx="152">
                  <c:v>0</c:v>
                </c:pt>
                <c:pt idx="153">
                  <c:v>0</c:v>
                </c:pt>
                <c:pt idx="154">
                  <c:v>0.14419475655430711</c:v>
                </c:pt>
                <c:pt idx="155">
                  <c:v>0.16071428571428573</c:v>
                </c:pt>
                <c:pt idx="156">
                  <c:v>0.16374269005847952</c:v>
                </c:pt>
                <c:pt idx="157">
                  <c:v>0.10843373493975904</c:v>
                </c:pt>
                <c:pt idx="158">
                  <c:v>0</c:v>
                </c:pt>
                <c:pt idx="159">
                  <c:v>0.15625</c:v>
                </c:pt>
                <c:pt idx="160">
                  <c:v>0</c:v>
                </c:pt>
              </c:numCache>
            </c:numRef>
          </c:val>
          <c:smooth val="0"/>
          <c:extLst>
            <c:ext xmlns:c16="http://schemas.microsoft.com/office/drawing/2014/chart" uri="{C3380CC4-5D6E-409C-BE32-E72D297353CC}">
              <c16:uniqueId val="{00000001-08F4-4847-96C6-530A8974B761}"/>
            </c:ext>
          </c:extLst>
        </c:ser>
        <c:dLbls>
          <c:showLegendKey val="0"/>
          <c:showVal val="0"/>
          <c:showCatName val="0"/>
          <c:showSerName val="0"/>
          <c:showPercent val="0"/>
          <c:showBubbleSize val="0"/>
        </c:dLbls>
        <c:smooth val="0"/>
        <c:axId val="501004512"/>
        <c:axId val="501030912"/>
        <c:extLst>
          <c:ext xmlns:c15="http://schemas.microsoft.com/office/drawing/2012/chart" uri="{02D57815-91ED-43cb-92C2-25804820EDAC}">
            <c15:filteredLineSeries>
              <c15:ser>
                <c:idx val="2"/>
                <c:order val="2"/>
                <c:tx>
                  <c:strRef>
                    <c:extLst>
                      <c:ext uri="{02D57815-91ED-43cb-92C2-25804820EDAC}">
                        <c15:formulaRef>
                          <c15:sqref>'Table 1-3'!$T$3</c15:sqref>
                        </c15:formulaRef>
                      </c:ext>
                    </c:extLst>
                    <c:strCache>
                      <c:ptCount val="1"/>
                      <c:pt idx="0">
                        <c:v>P(All Not Related)</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extLst>
                      <c:ext uri="{02D57815-91ED-43cb-92C2-25804820EDAC}">
                        <c15:formulaRef>
                          <c15:sqref>'Table 1-3'!$T$4:$T$164</c15:sqref>
                        </c15:formulaRef>
                      </c:ext>
                    </c:extLst>
                    <c:numCache>
                      <c:formatCode>0.00%</c:formatCode>
                      <c:ptCount val="161"/>
                      <c:pt idx="1">
                        <c:v>-0.19751178425160343</c:v>
                      </c:pt>
                      <c:pt idx="2">
                        <c:v>-0.21861287176986835</c:v>
                      </c:pt>
                      <c:pt idx="3">
                        <c:v>-0.25914396887159535</c:v>
                      </c:pt>
                      <c:pt idx="4">
                        <c:v>-0.27597402597402598</c:v>
                      </c:pt>
                      <c:pt idx="5">
                        <c:v>-0.26019617965926689</c:v>
                      </c:pt>
                      <c:pt idx="6">
                        <c:v>-0.23692307692307693</c:v>
                      </c:pt>
                      <c:pt idx="7">
                        <c:v>-0.10994598029869718</c:v>
                      </c:pt>
                      <c:pt idx="8">
                        <c:v>-9.5467308463698358E-2</c:v>
                      </c:pt>
                      <c:pt idx="9">
                        <c:v>-0.16513761467889909</c:v>
                      </c:pt>
                      <c:pt idx="10">
                        <c:v>-0.24172185430463577</c:v>
                      </c:pt>
                      <c:pt idx="11">
                        <c:v>-0.1702127659574468</c:v>
                      </c:pt>
                      <c:pt idx="12">
                        <c:v>-0.35361216730038025</c:v>
                      </c:pt>
                      <c:pt idx="13">
                        <c:v>-0.22083333333333333</c:v>
                      </c:pt>
                      <c:pt idx="14">
                        <c:v>-0.34615384615384615</c:v>
                      </c:pt>
                      <c:pt idx="15">
                        <c:v>-0.33287149289920331</c:v>
                      </c:pt>
                      <c:pt idx="16">
                        <c:v>-0.23130034522439585</c:v>
                      </c:pt>
                      <c:pt idx="17">
                        <c:v>-0.42059672762271416</c:v>
                      </c:pt>
                      <c:pt idx="18">
                        <c:v>-0.27311643835616439</c:v>
                      </c:pt>
                      <c:pt idx="19">
                        <c:v>-0.42841765339074273</c:v>
                      </c:pt>
                      <c:pt idx="20">
                        <c:v>-0.41333333333333333</c:v>
                      </c:pt>
                      <c:pt idx="21">
                        <c:v>-0.10820244328097731</c:v>
                      </c:pt>
                      <c:pt idx="22">
                        <c:v>-0.1103448275862069</c:v>
                      </c:pt>
                      <c:pt idx="23">
                        <c:v>-0.19330855018587362</c:v>
                      </c:pt>
                      <c:pt idx="24">
                        <c:v>-0.12523020257826889</c:v>
                      </c:pt>
                      <c:pt idx="25">
                        <c:v>-6.8133427963094392E-2</c:v>
                      </c:pt>
                      <c:pt idx="26">
                        <c:v>-0.11739130434782609</c:v>
                      </c:pt>
                      <c:pt idx="27">
                        <c:v>-0.11910377358490566</c:v>
                      </c:pt>
                      <c:pt idx="28">
                        <c:v>-0.13227513227513227</c:v>
                      </c:pt>
                      <c:pt idx="29">
                        <c:v>-9.1664535924316032E-2</c:v>
                      </c:pt>
                      <c:pt idx="30">
                        <c:v>-7.5738529226901316E-2</c:v>
                      </c:pt>
                      <c:pt idx="31">
                        <c:v>-0.13986013986013987</c:v>
                      </c:pt>
                      <c:pt idx="32">
                        <c:v>-0.19467213114754098</c:v>
                      </c:pt>
                      <c:pt idx="33">
                        <c:v>-0.1478743068391867</c:v>
                      </c:pt>
                      <c:pt idx="34">
                        <c:v>-0.21503540947884511</c:v>
                      </c:pt>
                      <c:pt idx="35">
                        <c:v>-0.170042194092827</c:v>
                      </c:pt>
                      <c:pt idx="36">
                        <c:v>-0.15321777246463439</c:v>
                      </c:pt>
                      <c:pt idx="37">
                        <c:v>-0.2257844474761255</c:v>
                      </c:pt>
                      <c:pt idx="38">
                        <c:v>-0.1902552204176334</c:v>
                      </c:pt>
                      <c:pt idx="39">
                        <c:v>-0.39438798055678304</c:v>
                      </c:pt>
                      <c:pt idx="40">
                        <c:v>-0.20497218358831712</c:v>
                      </c:pt>
                      <c:pt idx="41">
                        <c:v>-0.26047715223428425</c:v>
                      </c:pt>
                      <c:pt idx="42">
                        <c:v>-0.27687439571064426</c:v>
                      </c:pt>
                      <c:pt idx="43">
                        <c:v>-0.3355893965031021</c:v>
                      </c:pt>
                      <c:pt idx="44">
                        <c:v>-0.32635983263598328</c:v>
                      </c:pt>
                      <c:pt idx="45">
                        <c:v>-0.34435049961568026</c:v>
                      </c:pt>
                      <c:pt idx="46">
                        <c:v>-0.29741379310344829</c:v>
                      </c:pt>
                      <c:pt idx="47">
                        <c:v>-0.13314580403187998</c:v>
                      </c:pt>
                      <c:pt idx="48">
                        <c:v>-0.11393152302243212</c:v>
                      </c:pt>
                      <c:pt idx="49">
                        <c:v>-0.20681818181818182</c:v>
                      </c:pt>
                      <c:pt idx="50">
                        <c:v>-0.35783365570599612</c:v>
                      </c:pt>
                      <c:pt idx="51">
                        <c:v>-0.23529411764705882</c:v>
                      </c:pt>
                      <c:pt idx="52">
                        <c:v>-0.5</c:v>
                      </c:pt>
                      <c:pt idx="53">
                        <c:v>-0.37735849056603776</c:v>
                      </c:pt>
                      <c:pt idx="54">
                        <c:v>0</c:v>
                      </c:pt>
                      <c:pt idx="55">
                        <c:v>-0.40742492314968076</c:v>
                      </c:pt>
                      <c:pt idx="56">
                        <c:v>-0.25630252100840334</c:v>
                      </c:pt>
                      <c:pt idx="57">
                        <c:v>-0.50450450450450446</c:v>
                      </c:pt>
                      <c:pt idx="58">
                        <c:v>-0.37278106508875741</c:v>
                      </c:pt>
                      <c:pt idx="59">
                        <c:v>-0.47</c:v>
                      </c:pt>
                      <c:pt idx="60">
                        <c:v>-0.48920863309352519</c:v>
                      </c:pt>
                      <c:pt idx="61">
                        <c:v>-0.13357798165137616</c:v>
                      </c:pt>
                      <c:pt idx="62">
                        <c:v>-0.13953488372093023</c:v>
                      </c:pt>
                      <c:pt idx="63">
                        <c:v>-0.21782178217821782</c:v>
                      </c:pt>
                      <c:pt idx="64">
                        <c:v>-0.1569620253164557</c:v>
                      </c:pt>
                      <c:pt idx="65">
                        <c:v>-8.4415584415584416E-2</c:v>
                      </c:pt>
                      <c:pt idx="66">
                        <c:v>-0.14285714285714285</c:v>
                      </c:pt>
                      <c:pt idx="67">
                        <c:v>-0.13787878787878788</c:v>
                      </c:pt>
                      <c:pt idx="68">
                        <c:v>-0.17434210526315788</c:v>
                      </c:pt>
                      <c:pt idx="69">
                        <c:v>-0.13085579691180318</c:v>
                      </c:pt>
                      <c:pt idx="70">
                        <c:v>-0.1092032967032967</c:v>
                      </c:pt>
                      <c:pt idx="71">
                        <c:v>-0.19298245614035087</c:v>
                      </c:pt>
                      <c:pt idx="72">
                        <c:v>-0.21374045801526717</c:v>
                      </c:pt>
                      <c:pt idx="73">
                        <c:v>-0.18604651162790697</c:v>
                      </c:pt>
                      <c:pt idx="74">
                        <c:v>-0.27918258443999755</c:v>
                      </c:pt>
                      <c:pt idx="75">
                        <c:v>-0.19581220350073614</c:v>
                      </c:pt>
                      <c:pt idx="76">
                        <c:v>-0.25816326530612244</c:v>
                      </c:pt>
                      <c:pt idx="77">
                        <c:v>-0.38929889298892989</c:v>
                      </c:pt>
                      <c:pt idx="78">
                        <c:v>-0.19944341372912802</c:v>
                      </c:pt>
                      <c:pt idx="79">
                        <c:v>-0.4376723662437948</c:v>
                      </c:pt>
                      <c:pt idx="80">
                        <c:v>-0.28026481715006307</c:v>
                      </c:pt>
                      <c:pt idx="81">
                        <c:v>-0.11574074074074074</c:v>
                      </c:pt>
                      <c:pt idx="82">
                        <c:v>-0.10326086956521739</c:v>
                      </c:pt>
                      <c:pt idx="83">
                        <c:v>-0.14148681055155876</c:v>
                      </c:pt>
                      <c:pt idx="84">
                        <c:v>-0.15217391304347827</c:v>
                      </c:pt>
                      <c:pt idx="85">
                        <c:v>-0.15734265734265734</c:v>
                      </c:pt>
                      <c:pt idx="86">
                        <c:v>-9.3023255813953487E-2</c:v>
                      </c:pt>
                      <c:pt idx="87">
                        <c:v>-6.7567567567567571E-2</c:v>
                      </c:pt>
                      <c:pt idx="88">
                        <c:v>-6.1475409836065573E-2</c:v>
                      </c:pt>
                      <c:pt idx="89">
                        <c:v>-9.6153846153846159E-2</c:v>
                      </c:pt>
                      <c:pt idx="90">
                        <c:v>-9.7701149425287362E-2</c:v>
                      </c:pt>
                      <c:pt idx="91">
                        <c:v>-0.10526315789473684</c:v>
                      </c:pt>
                      <c:pt idx="92">
                        <c:v>-0.10169491525423729</c:v>
                      </c:pt>
                      <c:pt idx="93">
                        <c:v>-7.6923076923076927E-2</c:v>
                      </c:pt>
                      <c:pt idx="94">
                        <c:v>0</c:v>
                      </c:pt>
                      <c:pt idx="95">
                        <c:v>-0.15627668659265584</c:v>
                      </c:pt>
                      <c:pt idx="96">
                        <c:v>-0.13157894736842105</c:v>
                      </c:pt>
                      <c:pt idx="97">
                        <c:v>-0.18614718614718614</c:v>
                      </c:pt>
                      <c:pt idx="98">
                        <c:v>-0.10465116279069768</c:v>
                      </c:pt>
                      <c:pt idx="99">
                        <c:v>-0.24390243902439024</c:v>
                      </c:pt>
                      <c:pt idx="100">
                        <c:v>-0.28873239436619719</c:v>
                      </c:pt>
                      <c:pt idx="101">
                        <c:v>-5.8252427184466021E-2</c:v>
                      </c:pt>
                      <c:pt idx="102">
                        <c:v>-6.25E-2</c:v>
                      </c:pt>
                      <c:pt idx="103">
                        <c:v>-0.13157894736842105</c:v>
                      </c:pt>
                      <c:pt idx="104">
                        <c:v>-3.968253968253968E-2</c:v>
                      </c:pt>
                      <c:pt idx="105">
                        <c:v>-4.4334975369458129E-2</c:v>
                      </c:pt>
                      <c:pt idx="106">
                        <c:v>-6.0606060606060608E-2</c:v>
                      </c:pt>
                      <c:pt idx="107">
                        <c:v>-5.0314465408805034E-2</c:v>
                      </c:pt>
                      <c:pt idx="108">
                        <c:v>-9.0425531914893623E-2</c:v>
                      </c:pt>
                      <c:pt idx="109">
                        <c:v>-7.8365384615384615E-2</c:v>
                      </c:pt>
                      <c:pt idx="110">
                        <c:v>-7.2389493914157596E-2</c:v>
                      </c:pt>
                      <c:pt idx="111">
                        <c:v>-0.10655737704918032</c:v>
                      </c:pt>
                      <c:pt idx="112">
                        <c:v>-0.10465116279069768</c:v>
                      </c:pt>
                      <c:pt idx="113">
                        <c:v>-7.9365079365079361E-2</c:v>
                      </c:pt>
                      <c:pt idx="114">
                        <c:v>-0.12959229390681004</c:v>
                      </c:pt>
                      <c:pt idx="115">
                        <c:v>-0.12352763515554213</c:v>
                      </c:pt>
                      <c:pt idx="116">
                        <c:v>-8.9681440443213301E-2</c:v>
                      </c:pt>
                      <c:pt idx="117">
                        <c:v>-0.14030915576694411</c:v>
                      </c:pt>
                      <c:pt idx="118">
                        <c:v>-0.14761904761904762</c:v>
                      </c:pt>
                      <c:pt idx="119">
                        <c:v>-0.24054054054054055</c:v>
                      </c:pt>
                      <c:pt idx="120">
                        <c:v>-0.17164179104477612</c:v>
                      </c:pt>
                      <c:pt idx="121">
                        <c:v>-5.3246146660439045E-2</c:v>
                      </c:pt>
                      <c:pt idx="122">
                        <c:v>-4.3010752688172046E-2</c:v>
                      </c:pt>
                      <c:pt idx="123">
                        <c:v>-3.1578947368421054E-2</c:v>
                      </c:pt>
                      <c:pt idx="124">
                        <c:v>0</c:v>
                      </c:pt>
                      <c:pt idx="125">
                        <c:v>-3.1428571428571431E-2</c:v>
                      </c:pt>
                      <c:pt idx="126">
                        <c:v>0</c:v>
                      </c:pt>
                      <c:pt idx="127">
                        <c:v>-1.5748031496062992E-2</c:v>
                      </c:pt>
                      <c:pt idx="128">
                        <c:v>0</c:v>
                      </c:pt>
                      <c:pt idx="129">
                        <c:v>-3.3898305084745763E-2</c:v>
                      </c:pt>
                      <c:pt idx="130">
                        <c:v>-7.9069767441860464E-2</c:v>
                      </c:pt>
                      <c:pt idx="131">
                        <c:v>-7.2164948453608241E-2</c:v>
                      </c:pt>
                      <c:pt idx="132">
                        <c:v>-3.0303030303030304E-2</c:v>
                      </c:pt>
                      <c:pt idx="133">
                        <c:v>-0.10975609756097561</c:v>
                      </c:pt>
                      <c:pt idx="134">
                        <c:v>0</c:v>
                      </c:pt>
                      <c:pt idx="135">
                        <c:v>-4.6153846153846156E-2</c:v>
                      </c:pt>
                      <c:pt idx="136">
                        <c:v>0</c:v>
                      </c:pt>
                      <c:pt idx="137">
                        <c:v>0</c:v>
                      </c:pt>
                      <c:pt idx="138">
                        <c:v>-4.2424242424242427E-2</c:v>
                      </c:pt>
                      <c:pt idx="139">
                        <c:v>0</c:v>
                      </c:pt>
                      <c:pt idx="140">
                        <c:v>-0.05</c:v>
                      </c:pt>
                      <c:pt idx="141">
                        <c:v>-3.90625E-2</c:v>
                      </c:pt>
                      <c:pt idx="142">
                        <c:v>0</c:v>
                      </c:pt>
                      <c:pt idx="143">
                        <c:v>0</c:v>
                      </c:pt>
                      <c:pt idx="144">
                        <c:v>0</c:v>
                      </c:pt>
                      <c:pt idx="145">
                        <c:v>0</c:v>
                      </c:pt>
                      <c:pt idx="146">
                        <c:v>0</c:v>
                      </c:pt>
                      <c:pt idx="147">
                        <c:v>0</c:v>
                      </c:pt>
                      <c:pt idx="148">
                        <c:v>-6.6666666666666666E-2</c:v>
                      </c:pt>
                      <c:pt idx="149">
                        <c:v>-6.9078947368421059E-2</c:v>
                      </c:pt>
                      <c:pt idx="150">
                        <c:v>-6.545454545454546E-2</c:v>
                      </c:pt>
                      <c:pt idx="151">
                        <c:v>0</c:v>
                      </c:pt>
                      <c:pt idx="152">
                        <c:v>0</c:v>
                      </c:pt>
                      <c:pt idx="153">
                        <c:v>0</c:v>
                      </c:pt>
                      <c:pt idx="154">
                        <c:v>-6.9288389513108617E-2</c:v>
                      </c:pt>
                      <c:pt idx="155">
                        <c:v>-0.10714285714285714</c:v>
                      </c:pt>
                      <c:pt idx="156">
                        <c:v>-2.3391812865497075E-2</c:v>
                      </c:pt>
                      <c:pt idx="157">
                        <c:v>0</c:v>
                      </c:pt>
                      <c:pt idx="158">
                        <c:v>0</c:v>
                      </c:pt>
                      <c:pt idx="159">
                        <c:v>-0.125</c:v>
                      </c:pt>
                      <c:pt idx="160">
                        <c:v>0</c:v>
                      </c:pt>
                    </c:numCache>
                  </c:numRef>
                </c:val>
                <c:smooth val="0"/>
                <c:extLst>
                  <c:ext xmlns:c16="http://schemas.microsoft.com/office/drawing/2014/chart" uri="{C3380CC4-5D6E-409C-BE32-E72D297353CC}">
                    <c16:uniqueId val="{00000002-08F4-4847-96C6-530A8974B761}"/>
                  </c:ext>
                </c:extLst>
              </c15:ser>
            </c15:filteredLineSeries>
          </c:ext>
        </c:extLst>
      </c:lineChart>
      <c:catAx>
        <c:axId val="501004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30912"/>
        <c:crosses val="autoZero"/>
        <c:auto val="1"/>
        <c:lblAlgn val="ctr"/>
        <c:lblOffset val="100"/>
        <c:noMultiLvlLbl val="0"/>
      </c:catAx>
      <c:valAx>
        <c:axId val="501030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00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6-4'!$J$67:$P$67</c:f>
              <c:numCache>
                <c:formatCode>0.00%</c:formatCode>
                <c:ptCount val="7"/>
                <c:pt idx="0">
                  <c:v>7.9483390091884598E-2</c:v>
                </c:pt>
                <c:pt idx="1">
                  <c:v>0.11732956370879651</c:v>
                </c:pt>
                <c:pt idx="2">
                  <c:v>0.12619674869883699</c:v>
                </c:pt>
                <c:pt idx="3">
                  <c:v>0.14720812182741116</c:v>
                </c:pt>
                <c:pt idx="4">
                  <c:v>0.16442845209792456</c:v>
                </c:pt>
                <c:pt idx="5">
                  <c:v>0.17387393176122856</c:v>
                </c:pt>
                <c:pt idx="6">
                  <c:v>0.19147979181391764</c:v>
                </c:pt>
              </c:numCache>
            </c:numRef>
          </c:val>
          <c:smooth val="0"/>
          <c:extLst>
            <c:ext xmlns:c16="http://schemas.microsoft.com/office/drawing/2014/chart" uri="{C3380CC4-5D6E-409C-BE32-E72D297353CC}">
              <c16:uniqueId val="{00000000-673B-43EF-9D4B-31843F540214}"/>
            </c:ext>
          </c:extLst>
        </c:ser>
        <c:dLbls>
          <c:showLegendKey val="0"/>
          <c:showVal val="0"/>
          <c:showCatName val="0"/>
          <c:showSerName val="0"/>
          <c:showPercent val="0"/>
          <c:showBubbleSize val="0"/>
        </c:dLbls>
        <c:smooth val="0"/>
        <c:axId val="293363088"/>
        <c:axId val="293371248"/>
      </c:lineChart>
      <c:catAx>
        <c:axId val="293363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71248"/>
        <c:crosses val="autoZero"/>
        <c:auto val="1"/>
        <c:lblAlgn val="ctr"/>
        <c:lblOffset val="100"/>
        <c:noMultiLvlLbl val="0"/>
      </c:catAx>
      <c:valAx>
        <c:axId val="2933712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6-4'!$J$76:$P$76</c:f>
              <c:numCache>
                <c:formatCode>0.00%</c:formatCode>
                <c:ptCount val="7"/>
                <c:pt idx="0">
                  <c:v>8.7618572141787324E-2</c:v>
                </c:pt>
                <c:pt idx="1">
                  <c:v>0.12456315526709935</c:v>
                </c:pt>
                <c:pt idx="2">
                  <c:v>0.12431352970544184</c:v>
                </c:pt>
                <c:pt idx="3">
                  <c:v>0.13379930104842735</c:v>
                </c:pt>
                <c:pt idx="4">
                  <c:v>0.14952571143285073</c:v>
                </c:pt>
                <c:pt idx="5">
                  <c:v>0.18796804792810784</c:v>
                </c:pt>
                <c:pt idx="6">
                  <c:v>0.19221168247628556</c:v>
                </c:pt>
              </c:numCache>
            </c:numRef>
          </c:val>
          <c:smooth val="0"/>
          <c:extLst>
            <c:ext xmlns:c16="http://schemas.microsoft.com/office/drawing/2014/chart" uri="{C3380CC4-5D6E-409C-BE32-E72D297353CC}">
              <c16:uniqueId val="{00000000-862C-4547-9D33-99A2AC0C7C4C}"/>
            </c:ext>
          </c:extLst>
        </c:ser>
        <c:dLbls>
          <c:showLegendKey val="0"/>
          <c:showVal val="0"/>
          <c:showCatName val="0"/>
          <c:showSerName val="0"/>
          <c:showPercent val="0"/>
          <c:showBubbleSize val="0"/>
        </c:dLbls>
        <c:smooth val="0"/>
        <c:axId val="293318448"/>
        <c:axId val="293322768"/>
      </c:lineChart>
      <c:catAx>
        <c:axId val="2933184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22768"/>
        <c:crosses val="autoZero"/>
        <c:auto val="1"/>
        <c:lblAlgn val="ctr"/>
        <c:lblOffset val="100"/>
        <c:noMultiLvlLbl val="0"/>
      </c:catAx>
      <c:valAx>
        <c:axId val="293322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bg1">
                  <a:lumMod val="85000"/>
                </a:schemeClr>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bg1">
                    <a:lumMod val="85000"/>
                    <a:alpha val="98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6-4'!$J$94:$P$94</c:f>
              <c:numCache>
                <c:formatCode>0.00%</c:formatCode>
                <c:ptCount val="7"/>
                <c:pt idx="0">
                  <c:v>0.107314884864982</c:v>
                </c:pt>
                <c:pt idx="1">
                  <c:v>0.13166488619558317</c:v>
                </c:pt>
                <c:pt idx="2">
                  <c:v>0.14118058538847852</c:v>
                </c:pt>
                <c:pt idx="3">
                  <c:v>0.14663224844984965</c:v>
                </c:pt>
                <c:pt idx="4">
                  <c:v>0.15243747124951054</c:v>
                </c:pt>
                <c:pt idx="5">
                  <c:v>0.15937560589874505</c:v>
                </c:pt>
                <c:pt idx="6">
                  <c:v>0.16139431795285109</c:v>
                </c:pt>
              </c:numCache>
            </c:numRef>
          </c:val>
          <c:smooth val="0"/>
          <c:extLst>
            <c:ext xmlns:c16="http://schemas.microsoft.com/office/drawing/2014/chart" uri="{C3380CC4-5D6E-409C-BE32-E72D297353CC}">
              <c16:uniqueId val="{00000000-CAA0-481A-B92F-9025C364B978}"/>
            </c:ext>
          </c:extLst>
        </c:ser>
        <c:dLbls>
          <c:showLegendKey val="0"/>
          <c:showVal val="0"/>
          <c:showCatName val="0"/>
          <c:showSerName val="0"/>
          <c:showPercent val="0"/>
          <c:showBubbleSize val="0"/>
        </c:dLbls>
        <c:smooth val="0"/>
        <c:axId val="321505856"/>
        <c:axId val="321485696"/>
      </c:lineChart>
      <c:catAx>
        <c:axId val="321505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485696"/>
        <c:crosses val="autoZero"/>
        <c:auto val="1"/>
        <c:lblAlgn val="ctr"/>
        <c:lblOffset val="100"/>
        <c:noMultiLvlLbl val="0"/>
      </c:catAx>
      <c:valAx>
        <c:axId val="3214856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5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CCFF"/>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CCFF"/>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6-4'!$J$112:$P$112</c:f>
              <c:numCache>
                <c:formatCode>0.00%</c:formatCode>
                <c:ptCount val="7"/>
                <c:pt idx="0">
                  <c:v>0.10485666770020013</c:v>
                </c:pt>
                <c:pt idx="1">
                  <c:v>0.13095808552019619</c:v>
                </c:pt>
                <c:pt idx="2">
                  <c:v>0.13761028271838091</c:v>
                </c:pt>
                <c:pt idx="3">
                  <c:v>0.14935028328212646</c:v>
                </c:pt>
                <c:pt idx="4">
                  <c:v>0.15081602164782817</c:v>
                </c:pt>
                <c:pt idx="5">
                  <c:v>0.16140034388477043</c:v>
                </c:pt>
                <c:pt idx="6">
                  <c:v>0.16500831524649773</c:v>
                </c:pt>
              </c:numCache>
            </c:numRef>
          </c:val>
          <c:smooth val="0"/>
          <c:extLst>
            <c:ext xmlns:c16="http://schemas.microsoft.com/office/drawing/2014/chart" uri="{C3380CC4-5D6E-409C-BE32-E72D297353CC}">
              <c16:uniqueId val="{00000000-0050-461A-9871-FEC41EC27426}"/>
            </c:ext>
          </c:extLst>
        </c:ser>
        <c:dLbls>
          <c:showLegendKey val="0"/>
          <c:showVal val="0"/>
          <c:showCatName val="0"/>
          <c:showSerName val="0"/>
          <c:showPercent val="0"/>
          <c:showBubbleSize val="0"/>
        </c:dLbls>
        <c:smooth val="0"/>
        <c:axId val="293340048"/>
        <c:axId val="293315568"/>
      </c:lineChart>
      <c:catAx>
        <c:axId val="293340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15568"/>
        <c:crosses val="autoZero"/>
        <c:auto val="1"/>
        <c:lblAlgn val="ctr"/>
        <c:lblOffset val="100"/>
        <c:noMultiLvlLbl val="0"/>
      </c:catAx>
      <c:valAx>
        <c:axId val="293315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34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99FFCC"/>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rgbClr val="99FFCC"/>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'Table 6-4'!$J$3:$P$3</c:f>
              <c:strCache>
                <c:ptCount val="7"/>
                <c:pt idx="0">
                  <c:v>P(2003)</c:v>
                </c:pt>
                <c:pt idx="1">
                  <c:v>P(2010)</c:v>
                </c:pt>
                <c:pt idx="2">
                  <c:v>P(2013)</c:v>
                </c:pt>
                <c:pt idx="3">
                  <c:v>P(2015)</c:v>
                </c:pt>
                <c:pt idx="4">
                  <c:v>P(2017)</c:v>
                </c:pt>
                <c:pt idx="5">
                  <c:v>P(2019)</c:v>
                </c:pt>
                <c:pt idx="6">
                  <c:v>P(2021)</c:v>
                </c:pt>
              </c:strCache>
            </c:strRef>
          </c:cat>
          <c:val>
            <c:numRef>
              <c:f>'Table 6-4'!$J$121:$P$121</c:f>
              <c:numCache>
                <c:formatCode>0.00%</c:formatCode>
                <c:ptCount val="7"/>
                <c:pt idx="0">
                  <c:v>0.11523046092184369</c:v>
                </c:pt>
                <c:pt idx="1">
                  <c:v>0.12537575150300601</c:v>
                </c:pt>
                <c:pt idx="2">
                  <c:v>0.13188877755511022</c:v>
                </c:pt>
                <c:pt idx="3">
                  <c:v>0.13840180360721444</c:v>
                </c:pt>
                <c:pt idx="4">
                  <c:v>0.14992484969939879</c:v>
                </c:pt>
                <c:pt idx="5">
                  <c:v>0.16745991983967937</c:v>
                </c:pt>
                <c:pt idx="6">
                  <c:v>0.17171843687374749</c:v>
                </c:pt>
              </c:numCache>
            </c:numRef>
          </c:val>
          <c:smooth val="0"/>
          <c:extLst>
            <c:ext xmlns:c16="http://schemas.microsoft.com/office/drawing/2014/chart" uri="{C3380CC4-5D6E-409C-BE32-E72D297353CC}">
              <c16:uniqueId val="{00000000-3598-40C4-A1D5-F89B963A5911}"/>
            </c:ext>
          </c:extLst>
        </c:ser>
        <c:dLbls>
          <c:showLegendKey val="0"/>
          <c:showVal val="0"/>
          <c:showCatName val="0"/>
          <c:showSerName val="0"/>
          <c:showPercent val="0"/>
          <c:showBubbleSize val="0"/>
        </c:dLbls>
        <c:smooth val="0"/>
        <c:axId val="1166943839"/>
        <c:axId val="1166943359"/>
      </c:lineChart>
      <c:catAx>
        <c:axId val="1166943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43359"/>
        <c:crosses val="autoZero"/>
        <c:auto val="1"/>
        <c:lblAlgn val="ctr"/>
        <c:lblOffset val="100"/>
        <c:noMultiLvlLbl val="0"/>
      </c:catAx>
      <c:valAx>
        <c:axId val="11669433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2-1'!$N$3</c:f>
              <c:strCache>
                <c:ptCount val="1"/>
                <c:pt idx="0">
                  <c:v>P(Female)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2-1'!$N$4:$N$40</c15:sqref>
                  </c15:fullRef>
                </c:ext>
              </c:extLst>
              <c:f>('Table 2-1'!$N$5,'Table 2-1'!$N$14,'Table 2-1'!$N$23,'Table 2-1'!$N$32)</c:f>
              <c:numCache>
                <c:formatCode>0.00%</c:formatCode>
                <c:ptCount val="4"/>
                <c:pt idx="0">
                  <c:v>0.51180357004868249</c:v>
                </c:pt>
                <c:pt idx="1">
                  <c:v>0.49946351931330474</c:v>
                </c:pt>
                <c:pt idx="2">
                  <c:v>0.5660403050108932</c:v>
                </c:pt>
                <c:pt idx="3">
                  <c:v>0.41429238673517049</c:v>
                </c:pt>
              </c:numCache>
            </c:numRef>
          </c:val>
          <c:extLst>
            <c:ext xmlns:c16="http://schemas.microsoft.com/office/drawing/2014/chart" uri="{C3380CC4-5D6E-409C-BE32-E72D297353CC}">
              <c16:uniqueId val="{00000000-82B1-4073-89B9-2357F44A9BAC}"/>
            </c:ext>
          </c:extLst>
        </c:ser>
        <c:ser>
          <c:idx val="1"/>
          <c:order val="1"/>
          <c:tx>
            <c:strRef>
              <c:f>'Table 2-1'!$O$3</c:f>
              <c:strCache>
                <c:ptCount val="1"/>
                <c:pt idx="0">
                  <c:v>P(Male)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2-1'!$O$4:$O$40</c15:sqref>
                  </c15:fullRef>
                </c:ext>
              </c:extLst>
              <c:f>('Table 2-1'!$O$5,'Table 2-1'!$O$14,'Table 2-1'!$O$23,'Table 2-1'!$O$32)</c:f>
              <c:numCache>
                <c:formatCode>0.00%</c:formatCode>
                <c:ptCount val="4"/>
                <c:pt idx="0">
                  <c:v>0.48819642995131751</c:v>
                </c:pt>
                <c:pt idx="1">
                  <c:v>0.50053648068669532</c:v>
                </c:pt>
                <c:pt idx="2">
                  <c:v>0.43402777777777779</c:v>
                </c:pt>
                <c:pt idx="3">
                  <c:v>0.58570761326482956</c:v>
                </c:pt>
              </c:numCache>
            </c:numRef>
          </c:val>
          <c:extLst>
            <c:ext xmlns:c16="http://schemas.microsoft.com/office/drawing/2014/chart" uri="{C3380CC4-5D6E-409C-BE32-E72D297353CC}">
              <c16:uniqueId val="{00000001-82B1-4073-89B9-2357F44A9BAC}"/>
            </c:ext>
          </c:extLst>
        </c:ser>
        <c:dLbls>
          <c:showLegendKey val="0"/>
          <c:showVal val="0"/>
          <c:showCatName val="0"/>
          <c:showSerName val="0"/>
          <c:showPercent val="0"/>
          <c:showBubbleSize val="0"/>
        </c:dLbls>
        <c:gapWidth val="100"/>
        <c:overlap val="-24"/>
        <c:axId val="15431999"/>
        <c:axId val="15455519"/>
      </c:barChart>
      <c:catAx>
        <c:axId val="15431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519"/>
        <c:crosses val="autoZero"/>
        <c:auto val="1"/>
        <c:lblAlgn val="ctr"/>
        <c:lblOffset val="100"/>
        <c:noMultiLvlLbl val="0"/>
      </c:catAx>
      <c:valAx>
        <c:axId val="15455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2-1'!$W$3</c:f>
              <c:strCache>
                <c:ptCount val="1"/>
                <c:pt idx="0">
                  <c:v>P(Without Disability)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2-1'!$W$4:$W$40</c15:sqref>
                  </c15:fullRef>
                </c:ext>
              </c:extLst>
              <c:f>('Table 2-1'!$W$5,'Table 2-1'!$W$14,'Table 2-1'!$W$23,'Table 2-1'!$W$32)</c:f>
              <c:numCache>
                <c:formatCode>0.00%</c:formatCode>
                <c:ptCount val="4"/>
                <c:pt idx="0">
                  <c:v>0.87755969399582723</c:v>
                </c:pt>
                <c:pt idx="1">
                  <c:v>0.86802575107296143</c:v>
                </c:pt>
                <c:pt idx="2">
                  <c:v>0.89045479302832242</c:v>
                </c:pt>
                <c:pt idx="3">
                  <c:v>0.90331620737972906</c:v>
                </c:pt>
              </c:numCache>
            </c:numRef>
          </c:val>
          <c:extLst>
            <c:ext xmlns:c16="http://schemas.microsoft.com/office/drawing/2014/chart" uri="{C3380CC4-5D6E-409C-BE32-E72D297353CC}">
              <c16:uniqueId val="{00000000-D2E0-4ED5-9C34-EBEDF87D62F2}"/>
            </c:ext>
          </c:extLst>
        </c:ser>
        <c:ser>
          <c:idx val="1"/>
          <c:order val="1"/>
          <c:tx>
            <c:strRef>
              <c:f>'Table 2-1'!$X$3</c:f>
              <c:strCache>
                <c:ptCount val="1"/>
                <c:pt idx="0">
                  <c:v>P(With Disability)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2-1'!$X$4:$X$40</c15:sqref>
                  </c15:fullRef>
                </c:ext>
              </c:extLst>
              <c:f>('Table 2-1'!$X$5,'Table 2-1'!$X$14,'Table 2-1'!$X$23,'Table 2-1'!$X$32)</c:f>
              <c:numCache>
                <c:formatCode>0.00%</c:formatCode>
                <c:ptCount val="4"/>
                <c:pt idx="0">
                  <c:v>0.12244030600417279</c:v>
                </c:pt>
                <c:pt idx="1">
                  <c:v>0.13197424892703863</c:v>
                </c:pt>
                <c:pt idx="2">
                  <c:v>0.10954520697167756</c:v>
                </c:pt>
                <c:pt idx="3">
                  <c:v>9.6683792620270895E-2</c:v>
                </c:pt>
              </c:numCache>
            </c:numRef>
          </c:val>
          <c:extLst>
            <c:ext xmlns:c16="http://schemas.microsoft.com/office/drawing/2014/chart" uri="{C3380CC4-5D6E-409C-BE32-E72D297353CC}">
              <c16:uniqueId val="{00000001-D2E0-4ED5-9C34-EBEDF87D62F2}"/>
            </c:ext>
          </c:extLst>
        </c:ser>
        <c:dLbls>
          <c:showLegendKey val="0"/>
          <c:showVal val="0"/>
          <c:showCatName val="0"/>
          <c:showSerName val="0"/>
          <c:showPercent val="0"/>
          <c:showBubbleSize val="0"/>
        </c:dLbls>
        <c:gapWidth val="100"/>
        <c:overlap val="-24"/>
        <c:axId val="1326867279"/>
        <c:axId val="1326874479"/>
      </c:barChart>
      <c:catAx>
        <c:axId val="132686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874479"/>
        <c:crosses val="autoZero"/>
        <c:auto val="1"/>
        <c:lblAlgn val="ctr"/>
        <c:lblOffset val="100"/>
        <c:noMultiLvlLbl val="0"/>
      </c:catAx>
      <c:valAx>
        <c:axId val="1326874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86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 2-1'!$P$3</c:f>
              <c:strCache>
                <c:ptCount val="1"/>
                <c:pt idx="0">
                  <c:v>P(Hispanic or Latino)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2-1'!$P$4:$P$40</c15:sqref>
                  </c15:fullRef>
                </c:ext>
              </c:extLst>
              <c:f>('Table 2-1'!$P$5,'Table 2-1'!$P$14,'Table 2-1'!$P$23,'Table 2-1'!$P$32)</c:f>
              <c:numCache>
                <c:formatCode>0.00%</c:formatCode>
                <c:ptCount val="4"/>
                <c:pt idx="0">
                  <c:v>0.10252298894984932</c:v>
                </c:pt>
                <c:pt idx="1">
                  <c:v>0.11035723302196415</c:v>
                </c:pt>
                <c:pt idx="2">
                  <c:v>9.1026688453159046E-2</c:v>
                </c:pt>
                <c:pt idx="3">
                  <c:v>6.9593647828117708E-2</c:v>
                </c:pt>
              </c:numCache>
            </c:numRef>
          </c:val>
          <c:extLst>
            <c:ext xmlns:c16="http://schemas.microsoft.com/office/drawing/2014/chart" uri="{C3380CC4-5D6E-409C-BE32-E72D297353CC}">
              <c16:uniqueId val="{00000000-29DE-4783-9FEA-E2CEB504973D}"/>
            </c:ext>
          </c:extLst>
        </c:ser>
        <c:ser>
          <c:idx val="1"/>
          <c:order val="1"/>
          <c:tx>
            <c:strRef>
              <c:f>'Table 2-1'!$Q$3</c:f>
              <c:strCache>
                <c:ptCount val="1"/>
                <c:pt idx="0">
                  <c:v>P(American Indian or Alaska Native)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2-1'!$Q$4:$Q$40</c15:sqref>
                  </c15:fullRef>
                </c:ext>
              </c:extLst>
              <c:f>('Table 2-1'!$Q$5,'Table 2-1'!$Q$14,'Table 2-1'!$Q$23,'Table 2-1'!$Q$32)</c:f>
              <c:numCache>
                <c:formatCode>0.00%</c:formatCode>
                <c:ptCount val="4"/>
                <c:pt idx="0">
                  <c:v>2.4341241016922958E-3</c:v>
                </c:pt>
                <c:pt idx="1">
                  <c:v>2.019691996970462E-3</c:v>
                </c:pt>
                <c:pt idx="2">
                  <c:v>3.4041394335511985E-3</c:v>
                </c:pt>
                <c:pt idx="3">
                  <c:v>2.8024287716020553E-3</c:v>
                </c:pt>
              </c:numCache>
            </c:numRef>
          </c:val>
          <c:extLst>
            <c:ext xmlns:c16="http://schemas.microsoft.com/office/drawing/2014/chart" uri="{C3380CC4-5D6E-409C-BE32-E72D297353CC}">
              <c16:uniqueId val="{00000001-29DE-4783-9FEA-E2CEB504973D}"/>
            </c:ext>
          </c:extLst>
        </c:ser>
        <c:ser>
          <c:idx val="2"/>
          <c:order val="2"/>
          <c:tx>
            <c:strRef>
              <c:f>'Table 2-1'!$R$3</c:f>
              <c:strCache>
                <c:ptCount val="1"/>
                <c:pt idx="0">
                  <c:v>P(Asian)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2-1'!$R$4:$R$40</c15:sqref>
                  </c15:fullRef>
                </c:ext>
              </c:extLst>
              <c:f>('Table 2-1'!$R$5,'Table 2-1'!$R$14,'Table 2-1'!$R$23,'Table 2-1'!$R$32)</c:f>
              <c:numCache>
                <c:formatCode>0.00%</c:formatCode>
                <c:ptCount val="4"/>
                <c:pt idx="0">
                  <c:v>0.10576848775210571</c:v>
                </c:pt>
                <c:pt idx="1">
                  <c:v>9.0949255238576124E-2</c:v>
                </c:pt>
                <c:pt idx="2">
                  <c:v>0.12445533769063181</c:v>
                </c:pt>
                <c:pt idx="3">
                  <c:v>0.20457730032695001</c:v>
                </c:pt>
              </c:numCache>
            </c:numRef>
          </c:val>
          <c:extLst>
            <c:ext xmlns:c16="http://schemas.microsoft.com/office/drawing/2014/chart" uri="{C3380CC4-5D6E-409C-BE32-E72D297353CC}">
              <c16:uniqueId val="{00000002-29DE-4783-9FEA-E2CEB504973D}"/>
            </c:ext>
          </c:extLst>
        </c:ser>
        <c:ser>
          <c:idx val="3"/>
          <c:order val="3"/>
          <c:tx>
            <c:strRef>
              <c:f>'Table 2-1'!$S$3</c:f>
              <c:strCache>
                <c:ptCount val="1"/>
                <c:pt idx="0">
                  <c:v>P(Black)</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2-1'!$S$4:$S$40</c15:sqref>
                  </c15:fullRef>
                </c:ext>
              </c:extLst>
              <c:f>('Table 2-1'!$S$5,'Table 2-1'!$S$14,'Table 2-1'!$S$23,'Table 2-1'!$S$32)</c:f>
              <c:numCache>
                <c:formatCode>0.00%</c:formatCode>
                <c:ptCount val="4"/>
                <c:pt idx="0">
                  <c:v>7.9379491538520974E-2</c:v>
                </c:pt>
                <c:pt idx="1">
                  <c:v>7.6054026760918964E-2</c:v>
                </c:pt>
                <c:pt idx="2">
                  <c:v>9.1026688453159046E-2</c:v>
                </c:pt>
                <c:pt idx="3">
                  <c:v>6.6791219056515652E-2</c:v>
                </c:pt>
              </c:numCache>
            </c:numRef>
          </c:val>
          <c:extLst>
            <c:ext xmlns:c16="http://schemas.microsoft.com/office/drawing/2014/chart" uri="{C3380CC4-5D6E-409C-BE32-E72D297353CC}">
              <c16:uniqueId val="{00000003-29DE-4783-9FEA-E2CEB504973D}"/>
            </c:ext>
          </c:extLst>
        </c:ser>
        <c:ser>
          <c:idx val="4"/>
          <c:order val="4"/>
          <c:tx>
            <c:strRef>
              <c:f>'Table 2-1'!$T$3</c:f>
              <c:strCache>
                <c:ptCount val="1"/>
                <c:pt idx="0">
                  <c:v>P(Native Hawaiian or Other Pacific Islander)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2-1'!$T$4:$T$40</c15:sqref>
                  </c15:fullRef>
                </c:ext>
              </c:extLst>
              <c:f>('Table 2-1'!$T$5,'Table 2-1'!$T$14,'Table 2-1'!$T$23,'Table 2-1'!$T$32)</c:f>
              <c:numCache>
                <c:formatCode>0.00%</c:formatCode>
                <c:ptCount val="4"/>
                <c:pt idx="0">
                  <c:v>2.6273085542075575E-3</c:v>
                </c:pt>
                <c:pt idx="1">
                  <c:v>3.0610956829083564E-3</c:v>
                </c:pt>
                <c:pt idx="2">
                  <c:v>2.3148148148148147E-3</c:v>
                </c:pt>
                <c:pt idx="3">
                  <c:v>0</c:v>
                </c:pt>
              </c:numCache>
            </c:numRef>
          </c:val>
          <c:extLst>
            <c:ext xmlns:c16="http://schemas.microsoft.com/office/drawing/2014/chart" uri="{C3380CC4-5D6E-409C-BE32-E72D297353CC}">
              <c16:uniqueId val="{00000004-29DE-4783-9FEA-E2CEB504973D}"/>
            </c:ext>
          </c:extLst>
        </c:ser>
        <c:ser>
          <c:idx val="5"/>
          <c:order val="5"/>
          <c:tx>
            <c:strRef>
              <c:f>'Table 2-1'!$U$3</c:f>
              <c:strCache>
                <c:ptCount val="1"/>
                <c:pt idx="0">
                  <c:v>P(White)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2-1'!$U$4:$U$40</c15:sqref>
                  </c15:fullRef>
                </c:ext>
              </c:extLst>
              <c:f>('Table 2-1'!$U$5,'Table 2-1'!$U$14,'Table 2-1'!$U$23,'Table 2-1'!$U$32)</c:f>
              <c:numCache>
                <c:formatCode>0.00%</c:formatCode>
                <c:ptCount val="4"/>
                <c:pt idx="0">
                  <c:v>0.68335136388223472</c:v>
                </c:pt>
                <c:pt idx="1">
                  <c:v>0.69095556677606662</c:v>
                </c:pt>
                <c:pt idx="2">
                  <c:v>0.66700708061002179</c:v>
                </c:pt>
                <c:pt idx="3">
                  <c:v>0.64315740308267166</c:v>
                </c:pt>
              </c:numCache>
            </c:numRef>
          </c:val>
          <c:extLst>
            <c:ext xmlns:c16="http://schemas.microsoft.com/office/drawing/2014/chart" uri="{C3380CC4-5D6E-409C-BE32-E72D297353CC}">
              <c16:uniqueId val="{00000005-29DE-4783-9FEA-E2CEB504973D}"/>
            </c:ext>
          </c:extLst>
        </c:ser>
        <c:ser>
          <c:idx val="6"/>
          <c:order val="6"/>
          <c:tx>
            <c:strRef>
              <c:f>'Table 2-1'!$V$3</c:f>
              <c:strCache>
                <c:ptCount val="1"/>
                <c:pt idx="0">
                  <c:v>P(More than one race)</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2-1'!$A$4:$A$40</c15:sqref>
                  </c15:fullRef>
                </c:ext>
              </c:extLst>
              <c:f>('Table 2-1'!$A$5,'Table 2-1'!$A$14,'Table 2-1'!$A$23,'Table 2-1'!$A$32)</c:f>
              <c:strCache>
                <c:ptCount val="4"/>
                <c:pt idx="0">
                  <c:v>All degrees</c:v>
                </c:pt>
                <c:pt idx="1">
                  <c:v>Bachelor's</c:v>
                </c:pt>
                <c:pt idx="2">
                  <c:v>Master's</c:v>
                </c:pt>
                <c:pt idx="3">
                  <c:v>Doctorate</c:v>
                </c:pt>
              </c:strCache>
            </c:strRef>
          </c:cat>
          <c:val>
            <c:numRef>
              <c:extLst>
                <c:ext xmlns:c15="http://schemas.microsoft.com/office/drawing/2012/chart" uri="{02D57815-91ED-43cb-92C2-25804820EDAC}">
                  <c15:fullRef>
                    <c15:sqref>'Table 2-1'!$V$4:$V$40</c15:sqref>
                  </c15:fullRef>
                </c:ext>
              </c:extLst>
              <c:f>('Table 2-1'!$V$5,'Table 2-1'!$V$14,'Table 2-1'!$V$23,'Table 2-1'!$V$32)</c:f>
              <c:numCache>
                <c:formatCode>0.00%</c:formatCode>
                <c:ptCount val="4"/>
                <c:pt idx="0">
                  <c:v>2.3916235221389383E-2</c:v>
                </c:pt>
                <c:pt idx="1">
                  <c:v>2.6666245897500631E-2</c:v>
                </c:pt>
                <c:pt idx="2">
                  <c:v>2.0765250544662311E-2</c:v>
                </c:pt>
                <c:pt idx="3">
                  <c:v>1.2610929472209247E-2</c:v>
                </c:pt>
              </c:numCache>
            </c:numRef>
          </c:val>
          <c:extLst>
            <c:ext xmlns:c16="http://schemas.microsoft.com/office/drawing/2014/chart" uri="{C3380CC4-5D6E-409C-BE32-E72D297353CC}">
              <c16:uniqueId val="{00000006-29DE-4783-9FEA-E2CEB504973D}"/>
            </c:ext>
          </c:extLst>
        </c:ser>
        <c:dLbls>
          <c:showLegendKey val="0"/>
          <c:showVal val="0"/>
          <c:showCatName val="0"/>
          <c:showSerName val="0"/>
          <c:showPercent val="0"/>
          <c:showBubbleSize val="0"/>
        </c:dLbls>
        <c:gapWidth val="100"/>
        <c:overlap val="-24"/>
        <c:axId val="242736719"/>
        <c:axId val="242725679"/>
      </c:barChart>
      <c:catAx>
        <c:axId val="24273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725679"/>
        <c:crosses val="autoZero"/>
        <c:auto val="1"/>
        <c:lblAlgn val="ctr"/>
        <c:lblOffset val="100"/>
        <c:noMultiLvlLbl val="0"/>
      </c:catAx>
      <c:valAx>
        <c:axId val="242725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7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'Table 2-2'!$Q$3</c:f>
              <c:strCache>
                <c:ptCount val="1"/>
                <c:pt idx="0">
                  <c:v>P(Female)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2-2'!$A$4:$A$49</c15:sqref>
                  </c15:fullRef>
                </c:ext>
              </c:extLst>
              <c:f>'Table 2-2'!$A$5:$A$49</c:f>
              <c:strCache>
                <c:ptCount val="45"/>
                <c:pt idx="0">
                  <c:v>All occupations, all ages</c:v>
                </c:pt>
                <c:pt idx="1">
                  <c:v>29 and younger</c:v>
                </c:pt>
                <c:pt idx="2">
                  <c:v>30–39</c:v>
                </c:pt>
                <c:pt idx="3">
                  <c:v>40–49</c:v>
                </c:pt>
                <c:pt idx="4">
                  <c:v>50–75</c:v>
                </c:pt>
                <c:pt idx="5">
                  <c:v>S&amp;E occupations</c:v>
                </c:pt>
                <c:pt idx="6">
                  <c:v>29 and younger</c:v>
                </c:pt>
                <c:pt idx="7">
                  <c:v>30–39</c:v>
                </c:pt>
                <c:pt idx="8">
                  <c:v>40–49</c:v>
                </c:pt>
                <c:pt idx="9">
                  <c:v>50–75</c:v>
                </c:pt>
                <c:pt idx="10">
                  <c:v>Biological, agricultural, and other life scientists</c:v>
                </c:pt>
                <c:pt idx="11">
                  <c:v>29 and younger</c:v>
                </c:pt>
                <c:pt idx="12">
                  <c:v>30–39</c:v>
                </c:pt>
                <c:pt idx="13">
                  <c:v>40–49</c:v>
                </c:pt>
                <c:pt idx="14">
                  <c:v>50–75</c:v>
                </c:pt>
                <c:pt idx="15">
                  <c:v>Computer and mathematical scientists</c:v>
                </c:pt>
                <c:pt idx="16">
                  <c:v>29 and younger</c:v>
                </c:pt>
                <c:pt idx="17">
                  <c:v>30–39</c:v>
                </c:pt>
                <c:pt idx="18">
                  <c:v>40–49</c:v>
                </c:pt>
                <c:pt idx="19">
                  <c:v>50–75</c:v>
                </c:pt>
                <c:pt idx="20">
                  <c:v>Physical and related scientists</c:v>
                </c:pt>
                <c:pt idx="21">
                  <c:v>29 and younger</c:v>
                </c:pt>
                <c:pt idx="22">
                  <c:v>30–39</c:v>
                </c:pt>
                <c:pt idx="23">
                  <c:v>40–49</c:v>
                </c:pt>
                <c:pt idx="24">
                  <c:v>50–75</c:v>
                </c:pt>
                <c:pt idx="25">
                  <c:v>Social and related scientists</c:v>
                </c:pt>
                <c:pt idx="26">
                  <c:v>29 and younger</c:v>
                </c:pt>
                <c:pt idx="27">
                  <c:v>30–39</c:v>
                </c:pt>
                <c:pt idx="28">
                  <c:v>40–49</c:v>
                </c:pt>
                <c:pt idx="29">
                  <c:v>50–75</c:v>
                </c:pt>
                <c:pt idx="30">
                  <c:v>Engineers</c:v>
                </c:pt>
                <c:pt idx="31">
                  <c:v>29 and younger</c:v>
                </c:pt>
                <c:pt idx="32">
                  <c:v>30–39</c:v>
                </c:pt>
                <c:pt idx="33">
                  <c:v>40–49</c:v>
                </c:pt>
                <c:pt idx="34">
                  <c:v>50–75</c:v>
                </c:pt>
                <c:pt idx="35">
                  <c:v>S&amp;E-related occupations</c:v>
                </c:pt>
                <c:pt idx="36">
                  <c:v>29 and younger</c:v>
                </c:pt>
                <c:pt idx="37">
                  <c:v>30–39</c:v>
                </c:pt>
                <c:pt idx="38">
                  <c:v>40–49</c:v>
                </c:pt>
                <c:pt idx="39">
                  <c:v>50–75</c:v>
                </c:pt>
                <c:pt idx="40">
                  <c:v>Non-S&amp;E occupations</c:v>
                </c:pt>
                <c:pt idx="41">
                  <c:v>29 and younger</c:v>
                </c:pt>
                <c:pt idx="42">
                  <c:v>30–39</c:v>
                </c:pt>
                <c:pt idx="43">
                  <c:v>40–49</c:v>
                </c:pt>
                <c:pt idx="44">
                  <c:v>50–75</c:v>
                </c:pt>
              </c:strCache>
            </c:strRef>
          </c:cat>
          <c:val>
            <c:numRef>
              <c:extLst>
                <c:ext xmlns:c15="http://schemas.microsoft.com/office/drawing/2012/chart" uri="{02D57815-91ED-43cb-92C2-25804820EDAC}">
                  <c15:fullRef>
                    <c15:sqref>'Table 2-2'!$Q$4:$Q$49</c15:sqref>
                  </c15:fullRef>
                </c:ext>
              </c:extLst>
              <c:f>'Table 2-2'!$Q$5:$Q$49</c:f>
              <c:numCache>
                <c:formatCode>0.00%</c:formatCode>
                <c:ptCount val="45"/>
                <c:pt idx="0">
                  <c:v>0.48907209023169435</c:v>
                </c:pt>
                <c:pt idx="1">
                  <c:v>0.54889158821743089</c:v>
                </c:pt>
                <c:pt idx="2">
                  <c:v>0.500079579818558</c:v>
                </c:pt>
                <c:pt idx="3">
                  <c:v>0.50027906976744185</c:v>
                </c:pt>
                <c:pt idx="4">
                  <c:v>0.44326713914812993</c:v>
                </c:pt>
                <c:pt idx="5">
                  <c:v>0.27634854771784234</c:v>
                </c:pt>
                <c:pt idx="6">
                  <c:v>0.31048951048951051</c:v>
                </c:pt>
                <c:pt idx="7">
                  <c:v>0.27605274351339854</c:v>
                </c:pt>
                <c:pt idx="8">
                  <c:v>0.27884615384615385</c:v>
                </c:pt>
                <c:pt idx="9">
                  <c:v>0.24867724867724866</c:v>
                </c:pt>
                <c:pt idx="10">
                  <c:v>0.45850914205344584</c:v>
                </c:pt>
                <c:pt idx="11">
                  <c:v>0.50326797385620914</c:v>
                </c:pt>
                <c:pt idx="12">
                  <c:v>0.46058091286307051</c:v>
                </c:pt>
                <c:pt idx="13">
                  <c:v>0.47682119205298013</c:v>
                </c:pt>
                <c:pt idx="14">
                  <c:v>0.39393939393939392</c:v>
                </c:pt>
                <c:pt idx="15">
                  <c:v>0.2543171114599686</c:v>
                </c:pt>
                <c:pt idx="16">
                  <c:v>0.26487252124645894</c:v>
                </c:pt>
                <c:pt idx="17">
                  <c:v>0.22651933701657459</c:v>
                </c:pt>
                <c:pt idx="18">
                  <c:v>0.25862068965517243</c:v>
                </c:pt>
                <c:pt idx="19">
                  <c:v>0.27783452502553624</c:v>
                </c:pt>
                <c:pt idx="20">
                  <c:v>0.32132963988919666</c:v>
                </c:pt>
                <c:pt idx="21">
                  <c:v>0.39130434782608697</c:v>
                </c:pt>
                <c:pt idx="22">
                  <c:v>0.41880341880341881</c:v>
                </c:pt>
                <c:pt idx="23">
                  <c:v>0.31168831168831168</c:v>
                </c:pt>
                <c:pt idx="24">
                  <c:v>0.16494845360824742</c:v>
                </c:pt>
                <c:pt idx="25">
                  <c:v>0.59722222222222221</c:v>
                </c:pt>
                <c:pt idx="26">
                  <c:v>0.70114942528735635</c:v>
                </c:pt>
                <c:pt idx="27">
                  <c:v>0.61849710982658956</c:v>
                </c:pt>
                <c:pt idx="28">
                  <c:v>0.65094339622641506</c:v>
                </c:pt>
                <c:pt idx="29">
                  <c:v>0.47101449275362317</c:v>
                </c:pt>
                <c:pt idx="30">
                  <c:v>0.15502183406113537</c:v>
                </c:pt>
                <c:pt idx="31">
                  <c:v>0.22222222222222221</c:v>
                </c:pt>
                <c:pt idx="32">
                  <c:v>0.17359855334538879</c:v>
                </c:pt>
                <c:pt idx="33">
                  <c:v>0.12640449438202248</c:v>
                </c:pt>
                <c:pt idx="34">
                  <c:v>0.10216110019646366</c:v>
                </c:pt>
                <c:pt idx="35">
                  <c:v>0.54921630094043883</c:v>
                </c:pt>
                <c:pt idx="36">
                  <c:v>0.6417157275021026</c:v>
                </c:pt>
                <c:pt idx="37">
                  <c:v>0.57058326289095518</c:v>
                </c:pt>
                <c:pt idx="38">
                  <c:v>0.53229061553985868</c:v>
                </c:pt>
                <c:pt idx="39">
                  <c:v>0.49671862182116489</c:v>
                </c:pt>
                <c:pt idx="40">
                  <c:v>0.5256321680254249</c:v>
                </c:pt>
                <c:pt idx="41">
                  <c:v>0.60700781446937235</c:v>
                </c:pt>
                <c:pt idx="42">
                  <c:v>0.54580201299528608</c:v>
                </c:pt>
                <c:pt idx="43">
                  <c:v>0.5393258426966292</c:v>
                </c:pt>
                <c:pt idx="44">
                  <c:v>0.46729819611004736</c:v>
                </c:pt>
              </c:numCache>
            </c:numRef>
          </c:val>
          <c:extLst>
            <c:ext xmlns:c16="http://schemas.microsoft.com/office/drawing/2014/chart" uri="{C3380CC4-5D6E-409C-BE32-E72D297353CC}">
              <c16:uniqueId val="{00000000-B108-4003-93B5-E10A795F39CD}"/>
            </c:ext>
          </c:extLst>
        </c:ser>
        <c:ser>
          <c:idx val="1"/>
          <c:order val="1"/>
          <c:tx>
            <c:strRef>
              <c:f>'Table 2-2'!$R$3</c:f>
              <c:strCache>
                <c:ptCount val="1"/>
                <c:pt idx="0">
                  <c:v>P(Male)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'Table 2-2'!$A$4:$A$49</c15:sqref>
                  </c15:fullRef>
                </c:ext>
              </c:extLst>
              <c:f>'Table 2-2'!$A$5:$A$49</c:f>
              <c:strCache>
                <c:ptCount val="45"/>
                <c:pt idx="0">
                  <c:v>All occupations, all ages</c:v>
                </c:pt>
                <c:pt idx="1">
                  <c:v>29 and younger</c:v>
                </c:pt>
                <c:pt idx="2">
                  <c:v>30–39</c:v>
                </c:pt>
                <c:pt idx="3">
                  <c:v>40–49</c:v>
                </c:pt>
                <c:pt idx="4">
                  <c:v>50–75</c:v>
                </c:pt>
                <c:pt idx="5">
                  <c:v>S&amp;E occupations</c:v>
                </c:pt>
                <c:pt idx="6">
                  <c:v>29 and younger</c:v>
                </c:pt>
                <c:pt idx="7">
                  <c:v>30–39</c:v>
                </c:pt>
                <c:pt idx="8">
                  <c:v>40–49</c:v>
                </c:pt>
                <c:pt idx="9">
                  <c:v>50–75</c:v>
                </c:pt>
                <c:pt idx="10">
                  <c:v>Biological, agricultural, and other life scientists</c:v>
                </c:pt>
                <c:pt idx="11">
                  <c:v>29 and younger</c:v>
                </c:pt>
                <c:pt idx="12">
                  <c:v>30–39</c:v>
                </c:pt>
                <c:pt idx="13">
                  <c:v>40–49</c:v>
                </c:pt>
                <c:pt idx="14">
                  <c:v>50–75</c:v>
                </c:pt>
                <c:pt idx="15">
                  <c:v>Computer and mathematical scientists</c:v>
                </c:pt>
                <c:pt idx="16">
                  <c:v>29 and younger</c:v>
                </c:pt>
                <c:pt idx="17">
                  <c:v>30–39</c:v>
                </c:pt>
                <c:pt idx="18">
                  <c:v>40–49</c:v>
                </c:pt>
                <c:pt idx="19">
                  <c:v>50–75</c:v>
                </c:pt>
                <c:pt idx="20">
                  <c:v>Physical and related scientists</c:v>
                </c:pt>
                <c:pt idx="21">
                  <c:v>29 and younger</c:v>
                </c:pt>
                <c:pt idx="22">
                  <c:v>30–39</c:v>
                </c:pt>
                <c:pt idx="23">
                  <c:v>40–49</c:v>
                </c:pt>
                <c:pt idx="24">
                  <c:v>50–75</c:v>
                </c:pt>
                <c:pt idx="25">
                  <c:v>Social and related scientists</c:v>
                </c:pt>
                <c:pt idx="26">
                  <c:v>29 and younger</c:v>
                </c:pt>
                <c:pt idx="27">
                  <c:v>30–39</c:v>
                </c:pt>
                <c:pt idx="28">
                  <c:v>40–49</c:v>
                </c:pt>
                <c:pt idx="29">
                  <c:v>50–75</c:v>
                </c:pt>
                <c:pt idx="30">
                  <c:v>Engineers</c:v>
                </c:pt>
                <c:pt idx="31">
                  <c:v>29 and younger</c:v>
                </c:pt>
                <c:pt idx="32">
                  <c:v>30–39</c:v>
                </c:pt>
                <c:pt idx="33">
                  <c:v>40–49</c:v>
                </c:pt>
                <c:pt idx="34">
                  <c:v>50–75</c:v>
                </c:pt>
                <c:pt idx="35">
                  <c:v>S&amp;E-related occupations</c:v>
                </c:pt>
                <c:pt idx="36">
                  <c:v>29 and younger</c:v>
                </c:pt>
                <c:pt idx="37">
                  <c:v>30–39</c:v>
                </c:pt>
                <c:pt idx="38">
                  <c:v>40–49</c:v>
                </c:pt>
                <c:pt idx="39">
                  <c:v>50–75</c:v>
                </c:pt>
                <c:pt idx="40">
                  <c:v>Non-S&amp;E occupations</c:v>
                </c:pt>
                <c:pt idx="41">
                  <c:v>29 and younger</c:v>
                </c:pt>
                <c:pt idx="42">
                  <c:v>30–39</c:v>
                </c:pt>
                <c:pt idx="43">
                  <c:v>40–49</c:v>
                </c:pt>
                <c:pt idx="44">
                  <c:v>50–75</c:v>
                </c:pt>
              </c:strCache>
            </c:strRef>
          </c:cat>
          <c:val>
            <c:numRef>
              <c:extLst>
                <c:ext xmlns:c15="http://schemas.microsoft.com/office/drawing/2012/chart" uri="{02D57815-91ED-43cb-92C2-25804820EDAC}">
                  <c15:fullRef>
                    <c15:sqref>'Table 2-2'!$R$4:$R$49</c15:sqref>
                  </c15:fullRef>
                </c:ext>
              </c:extLst>
              <c:f>'Table 2-2'!$R$5:$R$49</c:f>
              <c:numCache>
                <c:formatCode>0.00%</c:formatCode>
                <c:ptCount val="45"/>
                <c:pt idx="0">
                  <c:v>0.51092790976830571</c:v>
                </c:pt>
                <c:pt idx="1">
                  <c:v>0.45110841178256911</c:v>
                </c:pt>
                <c:pt idx="2">
                  <c:v>0.499920420181442</c:v>
                </c:pt>
                <c:pt idx="3">
                  <c:v>0.4998139534883721</c:v>
                </c:pt>
                <c:pt idx="4">
                  <c:v>0.55666269033752014</c:v>
                </c:pt>
                <c:pt idx="5">
                  <c:v>0.72365145228215766</c:v>
                </c:pt>
                <c:pt idx="6">
                  <c:v>0.68951048951048954</c:v>
                </c:pt>
                <c:pt idx="7">
                  <c:v>0.72394725648660141</c:v>
                </c:pt>
                <c:pt idx="8">
                  <c:v>0.72115384615384615</c:v>
                </c:pt>
                <c:pt idx="9">
                  <c:v>0.75132275132275128</c:v>
                </c:pt>
                <c:pt idx="10">
                  <c:v>0.54149085794655416</c:v>
                </c:pt>
                <c:pt idx="11">
                  <c:v>0.49673202614379086</c:v>
                </c:pt>
                <c:pt idx="12">
                  <c:v>0.53941908713692943</c:v>
                </c:pt>
                <c:pt idx="13">
                  <c:v>0.52317880794701987</c:v>
                </c:pt>
                <c:pt idx="14">
                  <c:v>0.60606060606060608</c:v>
                </c:pt>
                <c:pt idx="15">
                  <c:v>0.7456828885400314</c:v>
                </c:pt>
                <c:pt idx="16">
                  <c:v>0.73371104815864019</c:v>
                </c:pt>
                <c:pt idx="17">
                  <c:v>0.77348066298342544</c:v>
                </c:pt>
                <c:pt idx="18">
                  <c:v>0.74022988505747123</c:v>
                </c:pt>
                <c:pt idx="19">
                  <c:v>0.72216547497446371</c:v>
                </c:pt>
                <c:pt idx="20">
                  <c:v>0.67867036011080328</c:v>
                </c:pt>
                <c:pt idx="21">
                  <c:v>0.60869565217391308</c:v>
                </c:pt>
                <c:pt idx="22">
                  <c:v>0.58119658119658124</c:v>
                </c:pt>
                <c:pt idx="23">
                  <c:v>0.68831168831168832</c:v>
                </c:pt>
                <c:pt idx="24">
                  <c:v>0.84536082474226804</c:v>
                </c:pt>
                <c:pt idx="25">
                  <c:v>0.40476190476190477</c:v>
                </c:pt>
                <c:pt idx="26">
                  <c:v>0.2988505747126437</c:v>
                </c:pt>
                <c:pt idx="27">
                  <c:v>0.38150289017341038</c:v>
                </c:pt>
                <c:pt idx="28">
                  <c:v>0.34905660377358488</c:v>
                </c:pt>
                <c:pt idx="29">
                  <c:v>0.53623188405797106</c:v>
                </c:pt>
                <c:pt idx="30">
                  <c:v>0.84497816593886466</c:v>
                </c:pt>
                <c:pt idx="31">
                  <c:v>0.78019323671497587</c:v>
                </c:pt>
                <c:pt idx="32">
                  <c:v>0.82640144665461124</c:v>
                </c:pt>
                <c:pt idx="33">
                  <c:v>0.8735955056179775</c:v>
                </c:pt>
                <c:pt idx="34">
                  <c:v>0.89980353634577603</c:v>
                </c:pt>
                <c:pt idx="35">
                  <c:v>0.45078369905956112</c:v>
                </c:pt>
                <c:pt idx="36">
                  <c:v>0.3582842724978974</c:v>
                </c:pt>
                <c:pt idx="37">
                  <c:v>0.42941673710904482</c:v>
                </c:pt>
                <c:pt idx="38">
                  <c:v>0.467204843592331</c:v>
                </c:pt>
                <c:pt idx="39">
                  <c:v>0.50328137817883511</c:v>
                </c:pt>
                <c:pt idx="40">
                  <c:v>0.4743678319745751</c:v>
                </c:pt>
                <c:pt idx="41">
                  <c:v>0.39324426518779937</c:v>
                </c:pt>
                <c:pt idx="42">
                  <c:v>0.45407058223977576</c:v>
                </c:pt>
                <c:pt idx="43">
                  <c:v>0.46081287279789152</c:v>
                </c:pt>
                <c:pt idx="44">
                  <c:v>0.53270180388995259</c:v>
                </c:pt>
              </c:numCache>
            </c:numRef>
          </c:val>
          <c:extLst>
            <c:ext xmlns:c16="http://schemas.microsoft.com/office/drawing/2014/chart" uri="{C3380CC4-5D6E-409C-BE32-E72D297353CC}">
              <c16:uniqueId val="{00000001-B108-4003-93B5-E10A795F39CD}"/>
            </c:ext>
          </c:extLst>
        </c:ser>
        <c:dLbls>
          <c:showLegendKey val="0"/>
          <c:showVal val="0"/>
          <c:showCatName val="0"/>
          <c:showSerName val="0"/>
          <c:showPercent val="0"/>
          <c:showBubbleSize val="0"/>
        </c:dLbls>
        <c:gapWidth val="150"/>
        <c:overlap val="100"/>
        <c:axId val="29793103"/>
        <c:axId val="29793583"/>
      </c:barChart>
      <c:catAx>
        <c:axId val="29793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3583"/>
        <c:crosses val="autoZero"/>
        <c:auto val="1"/>
        <c:lblAlgn val="ctr"/>
        <c:lblOffset val="100"/>
        <c:noMultiLvlLbl val="0"/>
      </c:catAx>
      <c:valAx>
        <c:axId val="29793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Weighted Average Amount Borrowed</a:t>
            </a:r>
            <a:r>
              <a:rPr lang="en-US" baseline="0"/>
              <a:t> to Finance a Degree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'Table 5-3'!$AC$89</c:f>
              <c:strCache>
                <c:ptCount val="1"/>
                <c:pt idx="0">
                  <c:v>Weighted Mean</c:v>
                </c:pt>
              </c:strCache>
            </c:strRef>
          </c:tx>
          <c:dPt>
            <c:idx val="0"/>
            <c:bubble3D val="0"/>
            <c:spPr>
              <a:solidFill>
                <a:srgbClr val="FFCC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BB2-4333-AAB5-9E039A91FF14}"/>
              </c:ext>
            </c:extLst>
          </c:dPt>
          <c:dPt>
            <c:idx val="1"/>
            <c:bubble3D val="0"/>
            <c:spPr>
              <a:solidFill>
                <a:srgbClr val="99CC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4BB2-4333-AAB5-9E039A91FF14}"/>
              </c:ext>
            </c:extLst>
          </c:dPt>
          <c:dPt>
            <c:idx val="2"/>
            <c:bubble3D val="0"/>
            <c:spPr>
              <a:solidFill>
                <a:srgbClr val="99FFCC"/>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BB2-4333-AAB5-9E039A91FF14}"/>
              </c:ext>
            </c:extLst>
          </c:dPt>
          <c:cat>
            <c:strRef>
              <c:f>'Table 5-3'!$AB$90:$AB$92</c:f>
              <c:strCache>
                <c:ptCount val="3"/>
                <c:pt idx="0">
                  <c:v>Bachelor's</c:v>
                </c:pt>
                <c:pt idx="1">
                  <c:v>Master's</c:v>
                </c:pt>
                <c:pt idx="2">
                  <c:v>Doctorate</c:v>
                </c:pt>
              </c:strCache>
            </c:strRef>
          </c:cat>
          <c:val>
            <c:numRef>
              <c:f>'Table 5-3'!$AC$90:$AC$92</c:f>
              <c:numCache>
                <c:formatCode>"$"#,##0.00</c:formatCode>
                <c:ptCount val="3"/>
                <c:pt idx="0">
                  <c:v>12448.915148852113</c:v>
                </c:pt>
                <c:pt idx="1">
                  <c:v>11530.186965423349</c:v>
                </c:pt>
                <c:pt idx="2">
                  <c:v>7233.4889928231596</c:v>
                </c:pt>
              </c:numCache>
            </c:numRef>
          </c:val>
          <c:extLst>
            <c:ext xmlns:c16="http://schemas.microsoft.com/office/drawing/2014/chart" uri="{C3380CC4-5D6E-409C-BE32-E72D297353CC}">
              <c16:uniqueId val="{00000000-4BB2-4333-AAB5-9E039A91FF1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97.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17" Type="http://schemas.openxmlformats.org/officeDocument/2006/relationships/chart" Target="../charts/chart31.xml"/><Relationship Id="rId2" Type="http://schemas.openxmlformats.org/officeDocument/2006/relationships/chart" Target="../charts/chart16.xml"/><Relationship Id="rId16" Type="http://schemas.openxmlformats.org/officeDocument/2006/relationships/chart" Target="../charts/chart30.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98.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oneCellAnchor>
    <xdr:from>
      <xdr:col>0</xdr:col>
      <xdr:colOff>1752600</xdr:colOff>
      <xdr:row>0</xdr:row>
      <xdr:rowOff>0</xdr:rowOff>
    </xdr:from>
    <xdr:ext cx="19050" cy="714375"/>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19050" cy="714375"/>
        </a:xfrm>
        <a:custGeom>
          <a:avLst/>
          <a:gdLst/>
          <a:ahLst/>
          <a:cxnLst/>
          <a:rect l="0" t="0" r="0" b="0"/>
          <a:pathLst>
            <a:path w="19050" h="714375">
              <a:moveTo>
                <a:pt x="0" y="0"/>
              </a:moveTo>
              <a:lnTo>
                <a:pt x="19050" y="0"/>
              </a:lnTo>
              <a:lnTo>
                <a:pt x="19050" y="714375"/>
              </a:lnTo>
              <a:lnTo>
                <a:pt x="0" y="714375"/>
              </a:lnTo>
              <a:lnTo>
                <a:pt x="0" y="0"/>
              </a:lnTo>
              <a:close/>
            </a:path>
          </a:pathLst>
        </a:custGeom>
        <a:solidFill>
          <a:srgbClr val="ECECEC"/>
        </a:solidFill>
      </xdr:spPr>
    </xdr:sp>
    <xdr:clientData/>
  </xdr:oneCellAnchor>
  <xdr:oneCellAnchor>
    <xdr:from>
      <xdr:col>0</xdr:col>
      <xdr:colOff>914400</xdr:colOff>
      <xdr:row>0</xdr:row>
      <xdr:rowOff>0</xdr:rowOff>
    </xdr:from>
    <xdr:ext cx="714375" cy="714320"/>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4375" cy="714320"/>
        </a:xfrm>
        <a:prstGeom prst="rect">
          <a:avLst/>
        </a:prstGeom>
      </xdr:spPr>
    </xdr:pic>
    <xdr:clientData/>
  </xdr:oneCellAnchor>
  <xdr:oneCellAnchor>
    <xdr:from>
      <xdr:col>1</xdr:col>
      <xdr:colOff>231362</xdr:colOff>
      <xdr:row>0</xdr:row>
      <xdr:rowOff>0</xdr:rowOff>
    </xdr:from>
    <xdr:ext cx="417195" cy="227965"/>
    <xdr:grpSp>
      <xdr:nvGrpSpPr>
        <xdr:cNvPr id="4" name="Group 4">
          <a:extLst>
            <a:ext uri="{FF2B5EF4-FFF2-40B4-BE49-F238E27FC236}">
              <a16:creationId xmlns:a16="http://schemas.microsoft.com/office/drawing/2014/main" id="{00000000-0008-0000-0000-000004000000}"/>
            </a:ext>
          </a:extLst>
        </xdr:cNvPr>
        <xdr:cNvGrpSpPr/>
      </xdr:nvGrpSpPr>
      <xdr:grpSpPr>
        <a:xfrm>
          <a:off x="2425922" y="0"/>
          <a:ext cx="417195" cy="227965"/>
          <a:chOff x="0" y="0"/>
          <a:chExt cx="417195" cy="227965"/>
        </a:xfrm>
      </xdr:grpSpPr>
      <xdr:sp macro="" textlink="">
        <xdr:nvSpPr>
          <xdr:cNvPr id="5" name="Shape 5">
            <a:extLst>
              <a:ext uri="{FF2B5EF4-FFF2-40B4-BE49-F238E27FC236}">
                <a16:creationId xmlns:a16="http://schemas.microsoft.com/office/drawing/2014/main" id="{00000000-0008-0000-0000-000005000000}"/>
              </a:ext>
            </a:extLst>
          </xdr:cNvPr>
          <xdr:cNvSpPr/>
        </xdr:nvSpPr>
        <xdr:spPr>
          <a:xfrm>
            <a:off x="197135" y="8762"/>
            <a:ext cx="117475" cy="22860"/>
          </a:xfrm>
          <a:custGeom>
            <a:avLst/>
            <a:gdLst/>
            <a:ahLst/>
            <a:cxnLst/>
            <a:rect l="0" t="0" r="0" b="0"/>
            <a:pathLst>
              <a:path w="117475" h="22860">
                <a:moveTo>
                  <a:pt x="22733" y="5080"/>
                </a:moveTo>
                <a:lnTo>
                  <a:pt x="17653" y="0"/>
                </a:lnTo>
                <a:lnTo>
                  <a:pt x="5080" y="0"/>
                </a:lnTo>
                <a:lnTo>
                  <a:pt x="0" y="5080"/>
                </a:lnTo>
                <a:lnTo>
                  <a:pt x="0" y="17653"/>
                </a:lnTo>
                <a:lnTo>
                  <a:pt x="5080" y="22733"/>
                </a:lnTo>
                <a:lnTo>
                  <a:pt x="17653" y="22733"/>
                </a:lnTo>
                <a:lnTo>
                  <a:pt x="22733" y="17653"/>
                </a:lnTo>
                <a:lnTo>
                  <a:pt x="22733" y="11303"/>
                </a:lnTo>
                <a:lnTo>
                  <a:pt x="22733" y="5080"/>
                </a:lnTo>
                <a:close/>
              </a:path>
              <a:path w="117475" h="22860">
                <a:moveTo>
                  <a:pt x="117094" y="5080"/>
                </a:moveTo>
                <a:lnTo>
                  <a:pt x="112014" y="0"/>
                </a:lnTo>
                <a:lnTo>
                  <a:pt x="99441" y="0"/>
                </a:lnTo>
                <a:lnTo>
                  <a:pt x="94361" y="5080"/>
                </a:lnTo>
                <a:lnTo>
                  <a:pt x="94361" y="17653"/>
                </a:lnTo>
                <a:lnTo>
                  <a:pt x="99441" y="22733"/>
                </a:lnTo>
                <a:lnTo>
                  <a:pt x="112014" y="22733"/>
                </a:lnTo>
                <a:lnTo>
                  <a:pt x="117094" y="17653"/>
                </a:lnTo>
                <a:lnTo>
                  <a:pt x="117094" y="11303"/>
                </a:lnTo>
                <a:lnTo>
                  <a:pt x="117094" y="5080"/>
                </a:lnTo>
                <a:close/>
              </a:path>
            </a:pathLst>
          </a:custGeom>
          <a:solidFill>
            <a:srgbClr val="1F4885"/>
          </a:solidFill>
        </xdr:spPr>
      </xdr:sp>
      <xdr:sp macro="" textlink="">
        <xdr:nvSpPr>
          <xdr:cNvPr id="6" name="Shape 6">
            <a:extLst>
              <a:ext uri="{FF2B5EF4-FFF2-40B4-BE49-F238E27FC236}">
                <a16:creationId xmlns:a16="http://schemas.microsoft.com/office/drawing/2014/main" id="{00000000-0008-0000-0000-000006000000}"/>
              </a:ext>
            </a:extLst>
          </xdr:cNvPr>
          <xdr:cNvSpPr/>
        </xdr:nvSpPr>
        <xdr:spPr>
          <a:xfrm>
            <a:off x="343820" y="0"/>
            <a:ext cx="73660" cy="73025"/>
          </a:xfrm>
          <a:custGeom>
            <a:avLst/>
            <a:gdLst/>
            <a:ahLst/>
            <a:cxnLst/>
            <a:rect l="0" t="0" r="0" b="0"/>
            <a:pathLst>
              <a:path w="73660" h="73025">
                <a:moveTo>
                  <a:pt x="56768" y="0"/>
                </a:moveTo>
                <a:lnTo>
                  <a:pt x="53340" y="0"/>
                </a:lnTo>
                <a:lnTo>
                  <a:pt x="45382" y="1545"/>
                </a:lnTo>
                <a:lnTo>
                  <a:pt x="39020" y="5794"/>
                </a:lnTo>
                <a:lnTo>
                  <a:pt x="34801" y="12162"/>
                </a:lnTo>
                <a:lnTo>
                  <a:pt x="33274" y="20066"/>
                </a:lnTo>
                <a:lnTo>
                  <a:pt x="33274" y="23622"/>
                </a:lnTo>
                <a:lnTo>
                  <a:pt x="34162" y="27050"/>
                </a:lnTo>
                <a:lnTo>
                  <a:pt x="35814" y="29718"/>
                </a:lnTo>
                <a:lnTo>
                  <a:pt x="0" y="65532"/>
                </a:lnTo>
                <a:lnTo>
                  <a:pt x="2667" y="67183"/>
                </a:lnTo>
                <a:lnTo>
                  <a:pt x="7874" y="72517"/>
                </a:lnTo>
                <a:lnTo>
                  <a:pt x="43687" y="36703"/>
                </a:lnTo>
                <a:lnTo>
                  <a:pt x="51254" y="39147"/>
                </a:lnTo>
                <a:lnTo>
                  <a:pt x="58880" y="38735"/>
                </a:lnTo>
                <a:lnTo>
                  <a:pt x="65672" y="35560"/>
                </a:lnTo>
                <a:lnTo>
                  <a:pt x="70739" y="29718"/>
                </a:lnTo>
                <a:lnTo>
                  <a:pt x="73201" y="22151"/>
                </a:lnTo>
                <a:lnTo>
                  <a:pt x="72818" y="14525"/>
                </a:lnTo>
                <a:lnTo>
                  <a:pt x="69649" y="7733"/>
                </a:lnTo>
                <a:lnTo>
                  <a:pt x="63754" y="2667"/>
                </a:lnTo>
                <a:lnTo>
                  <a:pt x="60325" y="889"/>
                </a:lnTo>
                <a:lnTo>
                  <a:pt x="56768" y="0"/>
                </a:lnTo>
                <a:close/>
              </a:path>
            </a:pathLst>
          </a:custGeom>
          <a:solidFill>
            <a:srgbClr val="D2B776"/>
          </a:solidFill>
        </xdr:spPr>
      </xdr:sp>
      <xdr:sp macro="" textlink="">
        <xdr:nvSpPr>
          <xdr:cNvPr id="7" name="Shape 7">
            <a:extLst>
              <a:ext uri="{FF2B5EF4-FFF2-40B4-BE49-F238E27FC236}">
                <a16:creationId xmlns:a16="http://schemas.microsoft.com/office/drawing/2014/main" id="{00000000-0008-0000-0000-000007000000}"/>
              </a:ext>
            </a:extLst>
          </xdr:cNvPr>
          <xdr:cNvSpPr/>
        </xdr:nvSpPr>
        <xdr:spPr>
          <a:xfrm>
            <a:off x="8540" y="102996"/>
            <a:ext cx="400050" cy="118745"/>
          </a:xfrm>
          <a:custGeom>
            <a:avLst/>
            <a:gdLst/>
            <a:ahLst/>
            <a:cxnLst/>
            <a:rect l="0" t="0" r="0" b="0"/>
            <a:pathLst>
              <a:path w="400050" h="118745">
                <a:moveTo>
                  <a:pt x="22733" y="5080"/>
                </a:moveTo>
                <a:lnTo>
                  <a:pt x="17653" y="0"/>
                </a:lnTo>
                <a:lnTo>
                  <a:pt x="5080" y="0"/>
                </a:lnTo>
                <a:lnTo>
                  <a:pt x="0" y="5080"/>
                </a:lnTo>
                <a:lnTo>
                  <a:pt x="0" y="17653"/>
                </a:lnTo>
                <a:lnTo>
                  <a:pt x="5080" y="22733"/>
                </a:lnTo>
                <a:lnTo>
                  <a:pt x="17653" y="22733"/>
                </a:lnTo>
                <a:lnTo>
                  <a:pt x="22733" y="17653"/>
                </a:lnTo>
                <a:lnTo>
                  <a:pt x="22733" y="11430"/>
                </a:lnTo>
                <a:lnTo>
                  <a:pt x="22733" y="5080"/>
                </a:lnTo>
                <a:close/>
              </a:path>
              <a:path w="400050" h="118745">
                <a:moveTo>
                  <a:pt x="117983" y="99822"/>
                </a:moveTo>
                <a:lnTo>
                  <a:pt x="112395" y="94361"/>
                </a:lnTo>
                <a:lnTo>
                  <a:pt x="98933" y="94361"/>
                </a:lnTo>
                <a:lnTo>
                  <a:pt x="93472" y="99822"/>
                </a:lnTo>
                <a:lnTo>
                  <a:pt x="93472" y="113284"/>
                </a:lnTo>
                <a:lnTo>
                  <a:pt x="98933" y="118745"/>
                </a:lnTo>
                <a:lnTo>
                  <a:pt x="112395" y="118745"/>
                </a:lnTo>
                <a:lnTo>
                  <a:pt x="117983" y="113284"/>
                </a:lnTo>
                <a:lnTo>
                  <a:pt x="117983" y="106553"/>
                </a:lnTo>
                <a:lnTo>
                  <a:pt x="117983" y="99822"/>
                </a:lnTo>
                <a:close/>
              </a:path>
              <a:path w="400050" h="118745">
                <a:moveTo>
                  <a:pt x="211328" y="5080"/>
                </a:moveTo>
                <a:lnTo>
                  <a:pt x="206248" y="0"/>
                </a:lnTo>
                <a:lnTo>
                  <a:pt x="193675" y="0"/>
                </a:lnTo>
                <a:lnTo>
                  <a:pt x="188595" y="5080"/>
                </a:lnTo>
                <a:lnTo>
                  <a:pt x="188595" y="17653"/>
                </a:lnTo>
                <a:lnTo>
                  <a:pt x="193675" y="22733"/>
                </a:lnTo>
                <a:lnTo>
                  <a:pt x="206248" y="22733"/>
                </a:lnTo>
                <a:lnTo>
                  <a:pt x="211328" y="17653"/>
                </a:lnTo>
                <a:lnTo>
                  <a:pt x="211328" y="11430"/>
                </a:lnTo>
                <a:lnTo>
                  <a:pt x="211328" y="5080"/>
                </a:lnTo>
                <a:close/>
              </a:path>
              <a:path w="400050" h="118745">
                <a:moveTo>
                  <a:pt x="305689" y="99441"/>
                </a:moveTo>
                <a:lnTo>
                  <a:pt x="300609" y="94361"/>
                </a:lnTo>
                <a:lnTo>
                  <a:pt x="288036" y="94361"/>
                </a:lnTo>
                <a:lnTo>
                  <a:pt x="282956" y="99441"/>
                </a:lnTo>
                <a:lnTo>
                  <a:pt x="282956" y="112014"/>
                </a:lnTo>
                <a:lnTo>
                  <a:pt x="288036" y="117094"/>
                </a:lnTo>
                <a:lnTo>
                  <a:pt x="300609" y="117094"/>
                </a:lnTo>
                <a:lnTo>
                  <a:pt x="305689" y="112014"/>
                </a:lnTo>
                <a:lnTo>
                  <a:pt x="305689" y="105664"/>
                </a:lnTo>
                <a:lnTo>
                  <a:pt x="305689" y="99441"/>
                </a:lnTo>
                <a:close/>
              </a:path>
              <a:path w="400050" h="118745">
                <a:moveTo>
                  <a:pt x="399923" y="5080"/>
                </a:moveTo>
                <a:lnTo>
                  <a:pt x="394843" y="0"/>
                </a:lnTo>
                <a:lnTo>
                  <a:pt x="382270" y="0"/>
                </a:lnTo>
                <a:lnTo>
                  <a:pt x="377190" y="5080"/>
                </a:lnTo>
                <a:lnTo>
                  <a:pt x="377190" y="17653"/>
                </a:lnTo>
                <a:lnTo>
                  <a:pt x="382270" y="22733"/>
                </a:lnTo>
                <a:lnTo>
                  <a:pt x="394843" y="22733"/>
                </a:lnTo>
                <a:lnTo>
                  <a:pt x="399923" y="17653"/>
                </a:lnTo>
                <a:lnTo>
                  <a:pt x="399923" y="11430"/>
                </a:lnTo>
                <a:lnTo>
                  <a:pt x="399923" y="5080"/>
                </a:lnTo>
                <a:close/>
              </a:path>
            </a:pathLst>
          </a:custGeom>
          <a:solidFill>
            <a:srgbClr val="1F4885"/>
          </a:solidFill>
        </xdr:spPr>
      </xdr:sp>
      <xdr:sp macro="" textlink="">
        <xdr:nvSpPr>
          <xdr:cNvPr id="8" name="Shape 8">
            <a:extLst>
              <a:ext uri="{FF2B5EF4-FFF2-40B4-BE49-F238E27FC236}">
                <a16:creationId xmlns:a16="http://schemas.microsoft.com/office/drawing/2014/main" id="{00000000-0008-0000-0000-000008000000}"/>
              </a:ext>
            </a:extLst>
          </xdr:cNvPr>
          <xdr:cNvSpPr/>
        </xdr:nvSpPr>
        <xdr:spPr>
          <a:xfrm>
            <a:off x="0" y="93567"/>
            <a:ext cx="262255" cy="134620"/>
          </a:xfrm>
          <a:custGeom>
            <a:avLst/>
            <a:gdLst/>
            <a:ahLst/>
            <a:cxnLst/>
            <a:rect l="0" t="0" r="0" b="0"/>
            <a:pathLst>
              <a:path w="262255" h="134620">
                <a:moveTo>
                  <a:pt x="116290" y="0"/>
                </a:moveTo>
                <a:lnTo>
                  <a:pt x="108664" y="412"/>
                </a:lnTo>
                <a:lnTo>
                  <a:pt x="101871" y="3587"/>
                </a:lnTo>
                <a:lnTo>
                  <a:pt x="96805" y="9429"/>
                </a:lnTo>
                <a:lnTo>
                  <a:pt x="93249" y="15525"/>
                </a:lnTo>
                <a:lnTo>
                  <a:pt x="93249" y="23399"/>
                </a:lnTo>
                <a:lnTo>
                  <a:pt x="96805" y="29495"/>
                </a:lnTo>
                <a:lnTo>
                  <a:pt x="29495" y="96805"/>
                </a:lnTo>
                <a:lnTo>
                  <a:pt x="21982" y="94343"/>
                </a:lnTo>
                <a:lnTo>
                  <a:pt x="14350" y="94726"/>
                </a:lnTo>
                <a:lnTo>
                  <a:pt x="7528" y="97895"/>
                </a:lnTo>
                <a:lnTo>
                  <a:pt x="2444" y="103790"/>
                </a:lnTo>
                <a:lnTo>
                  <a:pt x="0" y="111303"/>
                </a:lnTo>
                <a:lnTo>
                  <a:pt x="412" y="118935"/>
                </a:lnTo>
                <a:lnTo>
                  <a:pt x="3587" y="125757"/>
                </a:lnTo>
                <a:lnTo>
                  <a:pt x="9429" y="130841"/>
                </a:lnTo>
                <a:lnTo>
                  <a:pt x="16996" y="133304"/>
                </a:lnTo>
                <a:lnTo>
                  <a:pt x="24622" y="132921"/>
                </a:lnTo>
                <a:lnTo>
                  <a:pt x="31414" y="129752"/>
                </a:lnTo>
                <a:lnTo>
                  <a:pt x="40925" y="118649"/>
                </a:lnTo>
                <a:lnTo>
                  <a:pt x="40925" y="110775"/>
                </a:lnTo>
                <a:lnTo>
                  <a:pt x="37369" y="104679"/>
                </a:lnTo>
                <a:lnTo>
                  <a:pt x="104679" y="37369"/>
                </a:lnTo>
                <a:lnTo>
                  <a:pt x="110775" y="40925"/>
                </a:lnTo>
                <a:lnTo>
                  <a:pt x="118649" y="40925"/>
                </a:lnTo>
                <a:lnTo>
                  <a:pt x="124745" y="37369"/>
                </a:lnTo>
                <a:lnTo>
                  <a:pt x="191928" y="104679"/>
                </a:lnTo>
                <a:lnTo>
                  <a:pt x="189483" y="112192"/>
                </a:lnTo>
                <a:lnTo>
                  <a:pt x="189896" y="119824"/>
                </a:lnTo>
                <a:lnTo>
                  <a:pt x="193071" y="126646"/>
                </a:lnTo>
                <a:lnTo>
                  <a:pt x="198913" y="131730"/>
                </a:lnTo>
                <a:lnTo>
                  <a:pt x="206480" y="134175"/>
                </a:lnTo>
                <a:lnTo>
                  <a:pt x="214106" y="133762"/>
                </a:lnTo>
                <a:lnTo>
                  <a:pt x="220898" y="130587"/>
                </a:lnTo>
                <a:lnTo>
                  <a:pt x="225964" y="124745"/>
                </a:lnTo>
                <a:lnTo>
                  <a:pt x="229520" y="118649"/>
                </a:lnTo>
                <a:lnTo>
                  <a:pt x="229520" y="110775"/>
                </a:lnTo>
                <a:lnTo>
                  <a:pt x="225964" y="104679"/>
                </a:lnTo>
                <a:lnTo>
                  <a:pt x="261778" y="68865"/>
                </a:lnTo>
                <a:lnTo>
                  <a:pt x="258349" y="67087"/>
                </a:lnTo>
                <a:lnTo>
                  <a:pt x="255682" y="64420"/>
                </a:lnTo>
                <a:lnTo>
                  <a:pt x="253904" y="61880"/>
                </a:lnTo>
                <a:lnTo>
                  <a:pt x="218090" y="96805"/>
                </a:lnTo>
                <a:lnTo>
                  <a:pt x="211994" y="93249"/>
                </a:lnTo>
                <a:lnTo>
                  <a:pt x="204120" y="93249"/>
                </a:lnTo>
                <a:lnTo>
                  <a:pt x="198024" y="96805"/>
                </a:lnTo>
                <a:lnTo>
                  <a:pt x="130841" y="29495"/>
                </a:lnTo>
                <a:lnTo>
                  <a:pt x="133304" y="22000"/>
                </a:lnTo>
                <a:lnTo>
                  <a:pt x="132921" y="14398"/>
                </a:lnTo>
                <a:lnTo>
                  <a:pt x="129752" y="7582"/>
                </a:lnTo>
                <a:lnTo>
                  <a:pt x="123856" y="2444"/>
                </a:lnTo>
                <a:lnTo>
                  <a:pt x="116290" y="0"/>
                </a:lnTo>
                <a:close/>
              </a:path>
            </a:pathLst>
          </a:custGeom>
          <a:solidFill>
            <a:srgbClr val="D2B776"/>
          </a:solidFill>
        </xdr:spPr>
      </xdr:sp>
      <xdr:sp macro="" textlink="">
        <xdr:nvSpPr>
          <xdr:cNvPr id="9" name="Shape 9">
            <a:extLst>
              <a:ext uri="{FF2B5EF4-FFF2-40B4-BE49-F238E27FC236}">
                <a16:creationId xmlns:a16="http://schemas.microsoft.com/office/drawing/2014/main" id="{00000000-0008-0000-0000-000009000000}"/>
              </a:ext>
            </a:extLst>
          </xdr:cNvPr>
          <xdr:cNvSpPr/>
        </xdr:nvSpPr>
        <xdr:spPr>
          <a:xfrm>
            <a:off x="385730" y="197357"/>
            <a:ext cx="22860" cy="22860"/>
          </a:xfrm>
          <a:custGeom>
            <a:avLst/>
            <a:gdLst/>
            <a:ahLst/>
            <a:cxnLst/>
            <a:rect l="0" t="0" r="0" b="0"/>
            <a:pathLst>
              <a:path w="22860" h="22860">
                <a:moveTo>
                  <a:pt x="17652" y="0"/>
                </a:moveTo>
                <a:lnTo>
                  <a:pt x="5080" y="0"/>
                </a:lnTo>
                <a:lnTo>
                  <a:pt x="0" y="5079"/>
                </a:lnTo>
                <a:lnTo>
                  <a:pt x="0" y="17652"/>
                </a:lnTo>
                <a:lnTo>
                  <a:pt x="5080" y="22732"/>
                </a:lnTo>
                <a:lnTo>
                  <a:pt x="17652" y="22732"/>
                </a:lnTo>
                <a:lnTo>
                  <a:pt x="22732" y="17652"/>
                </a:lnTo>
                <a:lnTo>
                  <a:pt x="22732" y="11302"/>
                </a:lnTo>
                <a:lnTo>
                  <a:pt x="22732" y="5079"/>
                </a:lnTo>
                <a:lnTo>
                  <a:pt x="17652" y="0"/>
                </a:lnTo>
                <a:close/>
              </a:path>
            </a:pathLst>
          </a:custGeom>
          <a:solidFill>
            <a:srgbClr val="1F4885"/>
          </a:solidFill>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255682" y="67182"/>
            <a:ext cx="117475" cy="116205"/>
          </a:xfrm>
          <a:custGeom>
            <a:avLst/>
            <a:gdLst/>
            <a:ahLst/>
            <a:cxnLst/>
            <a:rect l="0" t="0" r="0" b="0"/>
            <a:pathLst>
              <a:path w="117475" h="116205">
                <a:moveTo>
                  <a:pt x="96831" y="84708"/>
                </a:moveTo>
                <a:lnTo>
                  <a:pt x="75056" y="84708"/>
                </a:lnTo>
                <a:lnTo>
                  <a:pt x="86487" y="97027"/>
                </a:lnTo>
                <a:lnTo>
                  <a:pt x="99568" y="111759"/>
                </a:lnTo>
                <a:lnTo>
                  <a:pt x="102997" y="116204"/>
                </a:lnTo>
                <a:lnTo>
                  <a:pt x="109093" y="116204"/>
                </a:lnTo>
                <a:lnTo>
                  <a:pt x="112649" y="112649"/>
                </a:lnTo>
                <a:lnTo>
                  <a:pt x="116967" y="109220"/>
                </a:lnTo>
                <a:lnTo>
                  <a:pt x="116967" y="103124"/>
                </a:lnTo>
                <a:lnTo>
                  <a:pt x="113537" y="99567"/>
                </a:lnTo>
                <a:lnTo>
                  <a:pt x="112649" y="98678"/>
                </a:lnTo>
                <a:lnTo>
                  <a:pt x="97790" y="85598"/>
                </a:lnTo>
                <a:lnTo>
                  <a:pt x="96831" y="84708"/>
                </a:lnTo>
                <a:close/>
              </a:path>
              <a:path w="117475" h="116205">
                <a:moveTo>
                  <a:pt x="47117" y="0"/>
                </a:moveTo>
                <a:lnTo>
                  <a:pt x="28717" y="3684"/>
                </a:lnTo>
                <a:lnTo>
                  <a:pt x="13747" y="13763"/>
                </a:lnTo>
                <a:lnTo>
                  <a:pt x="3683" y="28771"/>
                </a:lnTo>
                <a:lnTo>
                  <a:pt x="0" y="47244"/>
                </a:lnTo>
                <a:lnTo>
                  <a:pt x="3682" y="65643"/>
                </a:lnTo>
                <a:lnTo>
                  <a:pt x="13747" y="80613"/>
                </a:lnTo>
                <a:lnTo>
                  <a:pt x="28717" y="90677"/>
                </a:lnTo>
                <a:lnTo>
                  <a:pt x="47117" y="94360"/>
                </a:lnTo>
                <a:lnTo>
                  <a:pt x="54822" y="93710"/>
                </a:lnTo>
                <a:lnTo>
                  <a:pt x="62087" y="91821"/>
                </a:lnTo>
                <a:lnTo>
                  <a:pt x="68851" y="88788"/>
                </a:lnTo>
                <a:lnTo>
                  <a:pt x="75056" y="84708"/>
                </a:lnTo>
                <a:lnTo>
                  <a:pt x="96831" y="84708"/>
                </a:lnTo>
                <a:lnTo>
                  <a:pt x="94091" y="82169"/>
                </a:lnTo>
                <a:lnTo>
                  <a:pt x="46228" y="82169"/>
                </a:lnTo>
                <a:lnTo>
                  <a:pt x="32680" y="79408"/>
                </a:lnTo>
                <a:lnTo>
                  <a:pt x="21574" y="71897"/>
                </a:lnTo>
                <a:lnTo>
                  <a:pt x="14063" y="60791"/>
                </a:lnTo>
                <a:lnTo>
                  <a:pt x="11303" y="47244"/>
                </a:lnTo>
                <a:lnTo>
                  <a:pt x="14063" y="33643"/>
                </a:lnTo>
                <a:lnTo>
                  <a:pt x="21574" y="22542"/>
                </a:lnTo>
                <a:lnTo>
                  <a:pt x="32680" y="15061"/>
                </a:lnTo>
                <a:lnTo>
                  <a:pt x="46228" y="12319"/>
                </a:lnTo>
                <a:lnTo>
                  <a:pt x="78388" y="12319"/>
                </a:lnTo>
                <a:lnTo>
                  <a:pt x="65569" y="3684"/>
                </a:lnTo>
                <a:lnTo>
                  <a:pt x="47117" y="0"/>
                </a:lnTo>
                <a:close/>
              </a:path>
              <a:path w="117475" h="116205">
                <a:moveTo>
                  <a:pt x="78388" y="12319"/>
                </a:moveTo>
                <a:lnTo>
                  <a:pt x="46228" y="12319"/>
                </a:lnTo>
                <a:lnTo>
                  <a:pt x="59828" y="15061"/>
                </a:lnTo>
                <a:lnTo>
                  <a:pt x="70929" y="22542"/>
                </a:lnTo>
                <a:lnTo>
                  <a:pt x="78410" y="33643"/>
                </a:lnTo>
                <a:lnTo>
                  <a:pt x="81153" y="47244"/>
                </a:lnTo>
                <a:lnTo>
                  <a:pt x="78410" y="60791"/>
                </a:lnTo>
                <a:lnTo>
                  <a:pt x="70929" y="71897"/>
                </a:lnTo>
                <a:lnTo>
                  <a:pt x="59828" y="79408"/>
                </a:lnTo>
                <a:lnTo>
                  <a:pt x="46228" y="82169"/>
                </a:lnTo>
                <a:lnTo>
                  <a:pt x="94091" y="82169"/>
                </a:lnTo>
                <a:lnTo>
                  <a:pt x="85598" y="74295"/>
                </a:lnTo>
                <a:lnTo>
                  <a:pt x="89144" y="68460"/>
                </a:lnTo>
                <a:lnTo>
                  <a:pt x="91868" y="61722"/>
                </a:lnTo>
                <a:lnTo>
                  <a:pt x="93616" y="54506"/>
                </a:lnTo>
                <a:lnTo>
                  <a:pt x="94234" y="47244"/>
                </a:lnTo>
                <a:lnTo>
                  <a:pt x="90568" y="28771"/>
                </a:lnTo>
                <a:lnTo>
                  <a:pt x="80533" y="13763"/>
                </a:lnTo>
                <a:lnTo>
                  <a:pt x="78388" y="12319"/>
                </a:lnTo>
                <a:close/>
              </a:path>
            </a:pathLst>
          </a:custGeom>
          <a:solidFill>
            <a:srgbClr val="D2B776"/>
          </a:solidFill>
        </xdr:spPr>
      </xdr:sp>
    </xdr:grpSp>
    <xdr:clientData/>
  </xdr:oneCellAnchor>
  <xdr:oneCellAnchor>
    <xdr:from>
      <xdr:col>1</xdr:col>
      <xdr:colOff>239902</xdr:colOff>
      <xdr:row>0</xdr:row>
      <xdr:rowOff>125638</xdr:rowOff>
    </xdr:from>
    <xdr:ext cx="22860" cy="22860"/>
    <xdr:sp macro="" textlink="">
      <xdr:nvSpPr>
        <xdr:cNvPr id="11" name="Shape 11">
          <a:extLst>
            <a:ext uri="{FF2B5EF4-FFF2-40B4-BE49-F238E27FC236}">
              <a16:creationId xmlns:a16="http://schemas.microsoft.com/office/drawing/2014/main" id="{00000000-0008-0000-0000-00000B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334264</xdr:colOff>
      <xdr:row>0</xdr:row>
      <xdr:rowOff>125638</xdr:rowOff>
    </xdr:from>
    <xdr:ext cx="22860" cy="22860"/>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428498</xdr:colOff>
      <xdr:row>0</xdr:row>
      <xdr:rowOff>125638</xdr:rowOff>
    </xdr:from>
    <xdr:ext cx="22860" cy="22860"/>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22860" cy="22860"/>
        </a:xfrm>
        <a:custGeom>
          <a:avLst/>
          <a:gdLst/>
          <a:ahLst/>
          <a:cxnLst/>
          <a:rect l="0" t="0" r="0" b="0"/>
          <a:pathLst>
            <a:path w="22860" h="22860">
              <a:moveTo>
                <a:pt x="17652" y="0"/>
              </a:moveTo>
              <a:lnTo>
                <a:pt x="5079" y="0"/>
              </a:lnTo>
              <a:lnTo>
                <a:pt x="0" y="5079"/>
              </a:lnTo>
              <a:lnTo>
                <a:pt x="0" y="17652"/>
              </a:lnTo>
              <a:lnTo>
                <a:pt x="5079" y="22732"/>
              </a:lnTo>
              <a:lnTo>
                <a:pt x="17652" y="22732"/>
              </a:lnTo>
              <a:lnTo>
                <a:pt x="22732" y="17652"/>
              </a:lnTo>
              <a:lnTo>
                <a:pt x="22732" y="11429"/>
              </a:lnTo>
              <a:lnTo>
                <a:pt x="22732" y="5079"/>
              </a:lnTo>
              <a:lnTo>
                <a:pt x="17652" y="0"/>
              </a:lnTo>
              <a:close/>
            </a:path>
          </a:pathLst>
        </a:custGeom>
        <a:solidFill>
          <a:srgbClr val="1F4885"/>
        </a:solidFill>
      </xdr:spPr>
    </xdr:sp>
    <xdr:clientData/>
  </xdr:oneCellAnchor>
  <xdr:oneCellAnchor>
    <xdr:from>
      <xdr:col>1</xdr:col>
      <xdr:colOff>522858</xdr:colOff>
      <xdr:row>0</xdr:row>
      <xdr:rowOff>125638</xdr:rowOff>
    </xdr:from>
    <xdr:ext cx="22860" cy="22860"/>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22860" cy="22860"/>
        </a:xfrm>
        <a:custGeom>
          <a:avLst/>
          <a:gdLst/>
          <a:ahLst/>
          <a:cxnLst/>
          <a:rect l="0" t="0" r="0" b="0"/>
          <a:pathLst>
            <a:path w="22860" h="22860">
              <a:moveTo>
                <a:pt x="17653" y="0"/>
              </a:moveTo>
              <a:lnTo>
                <a:pt x="5080" y="0"/>
              </a:lnTo>
              <a:lnTo>
                <a:pt x="0" y="5079"/>
              </a:lnTo>
              <a:lnTo>
                <a:pt x="0" y="17652"/>
              </a:lnTo>
              <a:lnTo>
                <a:pt x="5080" y="22732"/>
              </a:lnTo>
              <a:lnTo>
                <a:pt x="17653" y="22732"/>
              </a:lnTo>
              <a:lnTo>
                <a:pt x="22733" y="17652"/>
              </a:lnTo>
              <a:lnTo>
                <a:pt x="22733" y="11429"/>
              </a:lnTo>
              <a:lnTo>
                <a:pt x="22733" y="5079"/>
              </a:lnTo>
              <a:lnTo>
                <a:pt x="17653" y="0"/>
              </a:lnTo>
              <a:close/>
            </a:path>
          </a:pathLst>
        </a:custGeom>
        <a:solidFill>
          <a:srgbClr val="1F4885"/>
        </a:solidFill>
      </xdr:spPr>
    </xdr:sp>
    <xdr:clientData/>
  </xdr:oneCellAnchor>
  <xdr:oneCellAnchor>
    <xdr:from>
      <xdr:col>1</xdr:col>
      <xdr:colOff>617092</xdr:colOff>
      <xdr:row>0</xdr:row>
      <xdr:rowOff>126527</xdr:rowOff>
    </xdr:from>
    <xdr:ext cx="22860" cy="22860"/>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22860" cy="22860"/>
        </a:xfrm>
        <a:custGeom>
          <a:avLst/>
          <a:gdLst/>
          <a:ahLst/>
          <a:cxnLst/>
          <a:rect l="0" t="0" r="0" b="0"/>
          <a:pathLst>
            <a:path w="22860" h="22860">
              <a:moveTo>
                <a:pt x="17652" y="0"/>
              </a:moveTo>
              <a:lnTo>
                <a:pt x="5080" y="0"/>
              </a:lnTo>
              <a:lnTo>
                <a:pt x="0" y="5079"/>
              </a:lnTo>
              <a:lnTo>
                <a:pt x="0" y="17652"/>
              </a:lnTo>
              <a:lnTo>
                <a:pt x="5080" y="22732"/>
              </a:lnTo>
              <a:lnTo>
                <a:pt x="17652" y="22732"/>
              </a:lnTo>
              <a:lnTo>
                <a:pt x="22732" y="17652"/>
              </a:lnTo>
              <a:lnTo>
                <a:pt x="22732" y="11429"/>
              </a:lnTo>
              <a:lnTo>
                <a:pt x="22732" y="5079"/>
              </a:lnTo>
              <a:lnTo>
                <a:pt x="17652" y="0"/>
              </a:lnTo>
              <a:close/>
            </a:path>
          </a:pathLst>
        </a:custGeom>
        <a:solidFill>
          <a:srgbClr val="1F4885"/>
        </a:solidFill>
      </xdr:spPr>
    </xdr:sp>
    <xdr:clientData/>
  </xdr:oneCellAnchor>
  <xdr:oneCellAnchor>
    <xdr:from>
      <xdr:col>1</xdr:col>
      <xdr:colOff>239014</xdr:colOff>
      <xdr:row>0</xdr:row>
      <xdr:rowOff>195488</xdr:rowOff>
    </xdr:from>
    <xdr:ext cx="401700" cy="135381"/>
    <xdr:pic>
      <xdr:nvPicPr>
        <xdr:cNvPr id="16" name="image2.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01700" cy="135381"/>
        </a:xfrm>
        <a:prstGeom prst="rect">
          <a:avLst/>
        </a:prstGeom>
      </xdr:spPr>
    </xdr:pic>
    <xdr:clientData/>
  </xdr:oneCellAnchor>
  <xdr:oneCellAnchor>
    <xdr:from>
      <xdr:col>0</xdr:col>
      <xdr:colOff>548640</xdr:colOff>
      <xdr:row>8</xdr:row>
      <xdr:rowOff>171449</xdr:rowOff>
    </xdr:from>
    <xdr:ext cx="6675120" cy="28575"/>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6675120" cy="28575"/>
        </a:xfrm>
        <a:custGeom>
          <a:avLst/>
          <a:gdLst/>
          <a:ahLst/>
          <a:cxnLst/>
          <a:rect l="0" t="0" r="0" b="0"/>
          <a:pathLst>
            <a:path w="6675120" h="28575">
              <a:moveTo>
                <a:pt x="6675119" y="0"/>
              </a:moveTo>
              <a:lnTo>
                <a:pt x="0" y="0"/>
              </a:lnTo>
              <a:lnTo>
                <a:pt x="0" y="28575"/>
              </a:lnTo>
              <a:lnTo>
                <a:pt x="6675119" y="28575"/>
              </a:lnTo>
              <a:lnTo>
                <a:pt x="6675119" y="0"/>
              </a:lnTo>
              <a:close/>
            </a:path>
          </a:pathLst>
        </a:custGeom>
        <a:solidFill>
          <a:srgbClr val="D8D8D8"/>
        </a:solidFill>
      </xdr:spPr>
    </xdr:sp>
    <xdr:clientData/>
  </xdr:oneCellAnchor>
  <xdr:oneCellAnchor>
    <xdr:from>
      <xdr:col>0</xdr:col>
      <xdr:colOff>548640</xdr:colOff>
      <xdr:row>10</xdr:row>
      <xdr:rowOff>0</xdr:rowOff>
    </xdr:from>
    <xdr:ext cx="6675120" cy="9525"/>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11</xdr:row>
      <xdr:rowOff>0</xdr:rowOff>
    </xdr:from>
    <xdr:ext cx="6675120" cy="9525"/>
    <xdr:sp macro="" textlink="">
      <xdr:nvSpPr>
        <xdr:cNvPr id="19" name="Shape 19">
          <a:extLst>
            <a:ext uri="{FF2B5EF4-FFF2-40B4-BE49-F238E27FC236}">
              <a16:creationId xmlns:a16="http://schemas.microsoft.com/office/drawing/2014/main" id="{00000000-0008-0000-0000-000013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12</xdr:row>
      <xdr:rowOff>0</xdr:rowOff>
    </xdr:from>
    <xdr:ext cx="6675120" cy="9525"/>
    <xdr:sp macro="" textlink="">
      <xdr:nvSpPr>
        <xdr:cNvPr id="20" name="Shape 20">
          <a:extLst>
            <a:ext uri="{FF2B5EF4-FFF2-40B4-BE49-F238E27FC236}">
              <a16:creationId xmlns:a16="http://schemas.microsoft.com/office/drawing/2014/main" id="{00000000-0008-0000-0000-000014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13</xdr:row>
      <xdr:rowOff>0</xdr:rowOff>
    </xdr:from>
    <xdr:ext cx="6675120" cy="9525"/>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14</xdr:row>
      <xdr:rowOff>0</xdr:rowOff>
    </xdr:from>
    <xdr:ext cx="6675120" cy="9525"/>
    <xdr:sp macro="" textlink="">
      <xdr:nvSpPr>
        <xdr:cNvPr id="22" name="Shape 22">
          <a:extLst>
            <a:ext uri="{FF2B5EF4-FFF2-40B4-BE49-F238E27FC236}">
              <a16:creationId xmlns:a16="http://schemas.microsoft.com/office/drawing/2014/main" id="{00000000-0008-0000-0000-000016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15</xdr:row>
      <xdr:rowOff>0</xdr:rowOff>
    </xdr:from>
    <xdr:ext cx="6675120" cy="9525"/>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6675120" cy="9525"/>
        </a:xfrm>
        <a:custGeom>
          <a:avLst/>
          <a:gdLst/>
          <a:ahLst/>
          <a:cxnLst/>
          <a:rect l="0" t="0" r="0" b="0"/>
          <a:pathLst>
            <a:path w="6675120" h="9525">
              <a:moveTo>
                <a:pt x="0" y="0"/>
              </a:moveTo>
              <a:lnTo>
                <a:pt x="6675119" y="0"/>
              </a:lnTo>
              <a:lnTo>
                <a:pt x="6675119" y="9525"/>
              </a:lnTo>
              <a:lnTo>
                <a:pt x="0" y="9525"/>
              </a:lnTo>
              <a:lnTo>
                <a:pt x="0" y="0"/>
              </a:lnTo>
              <a:close/>
            </a:path>
          </a:pathLst>
        </a:custGeom>
        <a:solidFill>
          <a:srgbClr val="D8D8D8"/>
        </a:solidFill>
      </xdr:spPr>
    </xdr:sp>
    <xdr:clientData/>
  </xdr:oneCellAnchor>
  <xdr:oneCellAnchor>
    <xdr:from>
      <xdr:col>0</xdr:col>
      <xdr:colOff>548640</xdr:colOff>
      <xdr:row>16</xdr:row>
      <xdr:rowOff>0</xdr:rowOff>
    </xdr:from>
    <xdr:ext cx="6675120" cy="9525"/>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6675120" cy="9525"/>
        </a:xfrm>
        <a:custGeom>
          <a:avLst/>
          <a:gdLst/>
          <a:ahLst/>
          <a:cxnLst/>
          <a:rect l="0" t="0" r="0" b="0"/>
          <a:pathLst>
            <a:path w="6675120" h="9525">
              <a:moveTo>
                <a:pt x="0" y="0"/>
              </a:moveTo>
              <a:lnTo>
                <a:pt x="6675119" y="0"/>
              </a:lnTo>
              <a:lnTo>
                <a:pt x="6675119" y="9524"/>
              </a:lnTo>
              <a:lnTo>
                <a:pt x="0" y="9524"/>
              </a:lnTo>
              <a:lnTo>
                <a:pt x="0" y="0"/>
              </a:lnTo>
              <a:close/>
            </a:path>
          </a:pathLst>
        </a:custGeom>
        <a:solidFill>
          <a:srgbClr val="D8D8D8"/>
        </a:solidFill>
      </xdr:spPr>
    </xdr:sp>
    <xdr:clientData/>
  </xdr:oneCellAnchor>
  <xdr:oneCellAnchor>
    <xdr:from>
      <xdr:col>0</xdr:col>
      <xdr:colOff>457200</xdr:colOff>
      <xdr:row>19</xdr:row>
      <xdr:rowOff>0</xdr:rowOff>
    </xdr:from>
    <xdr:ext cx="6858000" cy="28575"/>
    <xdr:sp macro="" textlink="">
      <xdr:nvSpPr>
        <xdr:cNvPr id="25" name="Shape 25">
          <a:extLst>
            <a:ext uri="{FF2B5EF4-FFF2-40B4-BE49-F238E27FC236}">
              <a16:creationId xmlns:a16="http://schemas.microsoft.com/office/drawing/2014/main" id="{00000000-0008-0000-0000-000019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39</xdr:row>
      <xdr:rowOff>163194</xdr:rowOff>
    </xdr:from>
    <xdr:ext cx="6858000" cy="28575"/>
    <xdr:sp macro="" textlink="">
      <xdr:nvSpPr>
        <xdr:cNvPr id="26" name="Shape 26">
          <a:extLst>
            <a:ext uri="{FF2B5EF4-FFF2-40B4-BE49-F238E27FC236}">
              <a16:creationId xmlns:a16="http://schemas.microsoft.com/office/drawing/2014/main" id="{00000000-0008-0000-0000-00001A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41</xdr:row>
      <xdr:rowOff>0</xdr:rowOff>
    </xdr:from>
    <xdr:ext cx="6858000" cy="9525"/>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42</xdr:row>
      <xdr:rowOff>0</xdr:rowOff>
    </xdr:from>
    <xdr:ext cx="6858000" cy="9525"/>
    <xdr:sp macro="" textlink="">
      <xdr:nvSpPr>
        <xdr:cNvPr id="28" name="Shape 28">
          <a:extLst>
            <a:ext uri="{FF2B5EF4-FFF2-40B4-BE49-F238E27FC236}">
              <a16:creationId xmlns:a16="http://schemas.microsoft.com/office/drawing/2014/main" id="{00000000-0008-0000-0000-00001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43</xdr:row>
      <xdr:rowOff>0</xdr:rowOff>
    </xdr:from>
    <xdr:ext cx="6858000" cy="9525"/>
    <xdr:sp macro="" textlink="">
      <xdr:nvSpPr>
        <xdr:cNvPr id="29" name="Shape 29">
          <a:extLst>
            <a:ext uri="{FF2B5EF4-FFF2-40B4-BE49-F238E27FC236}">
              <a16:creationId xmlns:a16="http://schemas.microsoft.com/office/drawing/2014/main" id="{00000000-0008-0000-0000-00001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44</xdr:row>
      <xdr:rowOff>0</xdr:rowOff>
    </xdr:from>
    <xdr:ext cx="6858000" cy="9525"/>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45</xdr:row>
      <xdr:rowOff>0</xdr:rowOff>
    </xdr:from>
    <xdr:ext cx="6858000" cy="9525"/>
    <xdr:sp macro="" textlink="">
      <xdr:nvSpPr>
        <xdr:cNvPr id="31" name="Shape 31">
          <a:extLst>
            <a:ext uri="{FF2B5EF4-FFF2-40B4-BE49-F238E27FC236}">
              <a16:creationId xmlns:a16="http://schemas.microsoft.com/office/drawing/2014/main" id="{00000000-0008-0000-0000-00001F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46</xdr:row>
      <xdr:rowOff>0</xdr:rowOff>
    </xdr:from>
    <xdr:ext cx="6858000" cy="9525"/>
    <xdr:sp macro="" textlink="">
      <xdr:nvSpPr>
        <xdr:cNvPr id="32" name="Shape 32">
          <a:extLst>
            <a:ext uri="{FF2B5EF4-FFF2-40B4-BE49-F238E27FC236}">
              <a16:creationId xmlns:a16="http://schemas.microsoft.com/office/drawing/2014/main" id="{00000000-0008-0000-0000-00002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47</xdr:row>
      <xdr:rowOff>0</xdr:rowOff>
    </xdr:from>
    <xdr:ext cx="6858000" cy="9525"/>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48</xdr:row>
      <xdr:rowOff>0</xdr:rowOff>
    </xdr:from>
    <xdr:ext cx="6858000" cy="9525"/>
    <xdr:sp macro="" textlink="">
      <xdr:nvSpPr>
        <xdr:cNvPr id="34" name="Shape 34">
          <a:extLst>
            <a:ext uri="{FF2B5EF4-FFF2-40B4-BE49-F238E27FC236}">
              <a16:creationId xmlns:a16="http://schemas.microsoft.com/office/drawing/2014/main" id="{00000000-0008-0000-0000-000022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49</xdr:row>
      <xdr:rowOff>0</xdr:rowOff>
    </xdr:from>
    <xdr:ext cx="6858000" cy="9525"/>
    <xdr:sp macro="" textlink="">
      <xdr:nvSpPr>
        <xdr:cNvPr id="35" name="Shape 35">
          <a:extLst>
            <a:ext uri="{FF2B5EF4-FFF2-40B4-BE49-F238E27FC236}">
              <a16:creationId xmlns:a16="http://schemas.microsoft.com/office/drawing/2014/main" id="{00000000-0008-0000-0000-000023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50</xdr:row>
      <xdr:rowOff>0</xdr:rowOff>
    </xdr:from>
    <xdr:ext cx="6858000" cy="9525"/>
    <xdr:sp macro="" textlink="">
      <xdr:nvSpPr>
        <xdr:cNvPr id="36" name="Shape 36">
          <a:extLst>
            <a:ext uri="{FF2B5EF4-FFF2-40B4-BE49-F238E27FC236}">
              <a16:creationId xmlns:a16="http://schemas.microsoft.com/office/drawing/2014/main" id="{00000000-0008-0000-0000-00002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51</xdr:row>
      <xdr:rowOff>0</xdr:rowOff>
    </xdr:from>
    <xdr:ext cx="6858000" cy="9525"/>
    <xdr:sp macro="" textlink="">
      <xdr:nvSpPr>
        <xdr:cNvPr id="37" name="Shape 37">
          <a:extLst>
            <a:ext uri="{FF2B5EF4-FFF2-40B4-BE49-F238E27FC236}">
              <a16:creationId xmlns:a16="http://schemas.microsoft.com/office/drawing/2014/main" id="{00000000-0008-0000-0000-00002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52</xdr:row>
      <xdr:rowOff>0</xdr:rowOff>
    </xdr:from>
    <xdr:ext cx="6858000" cy="9525"/>
    <xdr:sp macro="" textlink="">
      <xdr:nvSpPr>
        <xdr:cNvPr id="38" name="Shape 38">
          <a:extLst>
            <a:ext uri="{FF2B5EF4-FFF2-40B4-BE49-F238E27FC236}">
              <a16:creationId xmlns:a16="http://schemas.microsoft.com/office/drawing/2014/main" id="{00000000-0008-0000-0000-00002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53</xdr:row>
      <xdr:rowOff>0</xdr:rowOff>
    </xdr:from>
    <xdr:ext cx="6858000" cy="9525"/>
    <xdr:sp macro="" textlink="">
      <xdr:nvSpPr>
        <xdr:cNvPr id="39" name="Shape 39">
          <a:extLst>
            <a:ext uri="{FF2B5EF4-FFF2-40B4-BE49-F238E27FC236}">
              <a16:creationId xmlns:a16="http://schemas.microsoft.com/office/drawing/2014/main" id="{00000000-0008-0000-0000-000027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54</xdr:row>
      <xdr:rowOff>0</xdr:rowOff>
    </xdr:from>
    <xdr:ext cx="6858000" cy="9525"/>
    <xdr:sp macro="" textlink="">
      <xdr:nvSpPr>
        <xdr:cNvPr id="40" name="Shape 40">
          <a:extLst>
            <a:ext uri="{FF2B5EF4-FFF2-40B4-BE49-F238E27FC236}">
              <a16:creationId xmlns:a16="http://schemas.microsoft.com/office/drawing/2014/main" id="{00000000-0008-0000-0000-000028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55</xdr:row>
      <xdr:rowOff>0</xdr:rowOff>
    </xdr:from>
    <xdr:ext cx="6858000" cy="9525"/>
    <xdr:sp macro="" textlink="">
      <xdr:nvSpPr>
        <xdr:cNvPr id="41" name="Shape 41">
          <a:extLst>
            <a:ext uri="{FF2B5EF4-FFF2-40B4-BE49-F238E27FC236}">
              <a16:creationId xmlns:a16="http://schemas.microsoft.com/office/drawing/2014/main" id="{00000000-0008-0000-0000-000029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56</xdr:row>
      <xdr:rowOff>0</xdr:rowOff>
    </xdr:from>
    <xdr:ext cx="6858000" cy="9525"/>
    <xdr:sp macro="" textlink="">
      <xdr:nvSpPr>
        <xdr:cNvPr id="42" name="Shape 42">
          <a:extLst>
            <a:ext uri="{FF2B5EF4-FFF2-40B4-BE49-F238E27FC236}">
              <a16:creationId xmlns:a16="http://schemas.microsoft.com/office/drawing/2014/main" id="{00000000-0008-0000-0000-00002A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76</xdr:row>
      <xdr:rowOff>163195</xdr:rowOff>
    </xdr:from>
    <xdr:ext cx="6858000" cy="9525"/>
    <xdr:sp macro="" textlink="">
      <xdr:nvSpPr>
        <xdr:cNvPr id="43" name="Shape 43">
          <a:extLst>
            <a:ext uri="{FF2B5EF4-FFF2-40B4-BE49-F238E27FC236}">
              <a16:creationId xmlns:a16="http://schemas.microsoft.com/office/drawing/2014/main" id="{00000000-0008-0000-0000-00002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76</xdr:row>
      <xdr:rowOff>175895</xdr:rowOff>
    </xdr:from>
    <xdr:ext cx="6858000" cy="9525"/>
    <xdr:sp macro="" textlink="">
      <xdr:nvSpPr>
        <xdr:cNvPr id="44" name="Shape 44">
          <a:extLst>
            <a:ext uri="{FF2B5EF4-FFF2-40B4-BE49-F238E27FC236}">
              <a16:creationId xmlns:a16="http://schemas.microsoft.com/office/drawing/2014/main" id="{00000000-0008-0000-0000-00002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79</xdr:row>
      <xdr:rowOff>0</xdr:rowOff>
    </xdr:from>
    <xdr:ext cx="6858000" cy="9525"/>
    <xdr:sp macro="" textlink="">
      <xdr:nvSpPr>
        <xdr:cNvPr id="45" name="Shape 45">
          <a:extLst>
            <a:ext uri="{FF2B5EF4-FFF2-40B4-BE49-F238E27FC236}">
              <a16:creationId xmlns:a16="http://schemas.microsoft.com/office/drawing/2014/main" id="{00000000-0008-0000-0000-00002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80</xdr:row>
      <xdr:rowOff>0</xdr:rowOff>
    </xdr:from>
    <xdr:ext cx="6858000" cy="9525"/>
    <xdr:sp macro="" textlink="">
      <xdr:nvSpPr>
        <xdr:cNvPr id="46" name="Shape 46">
          <a:extLst>
            <a:ext uri="{FF2B5EF4-FFF2-40B4-BE49-F238E27FC236}">
              <a16:creationId xmlns:a16="http://schemas.microsoft.com/office/drawing/2014/main" id="{00000000-0008-0000-0000-00002E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81</xdr:row>
      <xdr:rowOff>0</xdr:rowOff>
    </xdr:from>
    <xdr:ext cx="6858000" cy="9525"/>
    <xdr:sp macro="" textlink="">
      <xdr:nvSpPr>
        <xdr:cNvPr id="47" name="Shape 47">
          <a:extLst>
            <a:ext uri="{FF2B5EF4-FFF2-40B4-BE49-F238E27FC236}">
              <a16:creationId xmlns:a16="http://schemas.microsoft.com/office/drawing/2014/main" id="{00000000-0008-0000-0000-00002F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82</xdr:row>
      <xdr:rowOff>0</xdr:rowOff>
    </xdr:from>
    <xdr:ext cx="6858000" cy="9525"/>
    <xdr:sp macro="" textlink="">
      <xdr:nvSpPr>
        <xdr:cNvPr id="48" name="Shape 48">
          <a:extLst>
            <a:ext uri="{FF2B5EF4-FFF2-40B4-BE49-F238E27FC236}">
              <a16:creationId xmlns:a16="http://schemas.microsoft.com/office/drawing/2014/main" id="{00000000-0008-0000-0000-00003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83</xdr:row>
      <xdr:rowOff>0</xdr:rowOff>
    </xdr:from>
    <xdr:ext cx="6858000" cy="9525"/>
    <xdr:sp macro="" textlink="">
      <xdr:nvSpPr>
        <xdr:cNvPr id="49" name="Shape 49">
          <a:extLst>
            <a:ext uri="{FF2B5EF4-FFF2-40B4-BE49-F238E27FC236}">
              <a16:creationId xmlns:a16="http://schemas.microsoft.com/office/drawing/2014/main" id="{00000000-0008-0000-0000-000031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84</xdr:row>
      <xdr:rowOff>0</xdr:rowOff>
    </xdr:from>
    <xdr:ext cx="6858000" cy="9525"/>
    <xdr:sp macro="" textlink="">
      <xdr:nvSpPr>
        <xdr:cNvPr id="50" name="Shape 50">
          <a:extLst>
            <a:ext uri="{FF2B5EF4-FFF2-40B4-BE49-F238E27FC236}">
              <a16:creationId xmlns:a16="http://schemas.microsoft.com/office/drawing/2014/main" id="{00000000-0008-0000-0000-000032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85</xdr:row>
      <xdr:rowOff>0</xdr:rowOff>
    </xdr:from>
    <xdr:ext cx="6858000" cy="9525"/>
    <xdr:sp macro="" textlink="">
      <xdr:nvSpPr>
        <xdr:cNvPr id="51" name="Shape 51">
          <a:extLst>
            <a:ext uri="{FF2B5EF4-FFF2-40B4-BE49-F238E27FC236}">
              <a16:creationId xmlns:a16="http://schemas.microsoft.com/office/drawing/2014/main" id="{00000000-0008-0000-0000-000033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86</xdr:row>
      <xdr:rowOff>0</xdr:rowOff>
    </xdr:from>
    <xdr:ext cx="6858000" cy="9525"/>
    <xdr:sp macro="" textlink="">
      <xdr:nvSpPr>
        <xdr:cNvPr id="52" name="Shape 52">
          <a:extLst>
            <a:ext uri="{FF2B5EF4-FFF2-40B4-BE49-F238E27FC236}">
              <a16:creationId xmlns:a16="http://schemas.microsoft.com/office/drawing/2014/main" id="{00000000-0008-0000-0000-00003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87</xdr:row>
      <xdr:rowOff>0</xdr:rowOff>
    </xdr:from>
    <xdr:ext cx="6858000" cy="9525"/>
    <xdr:sp macro="" textlink="">
      <xdr:nvSpPr>
        <xdr:cNvPr id="53" name="Shape 53">
          <a:extLst>
            <a:ext uri="{FF2B5EF4-FFF2-40B4-BE49-F238E27FC236}">
              <a16:creationId xmlns:a16="http://schemas.microsoft.com/office/drawing/2014/main" id="{00000000-0008-0000-0000-00003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88</xdr:row>
      <xdr:rowOff>0</xdr:rowOff>
    </xdr:from>
    <xdr:ext cx="6858000" cy="9525"/>
    <xdr:sp macro="" textlink="">
      <xdr:nvSpPr>
        <xdr:cNvPr id="54" name="Shape 54">
          <a:extLst>
            <a:ext uri="{FF2B5EF4-FFF2-40B4-BE49-F238E27FC236}">
              <a16:creationId xmlns:a16="http://schemas.microsoft.com/office/drawing/2014/main" id="{00000000-0008-0000-0000-00003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89</xdr:row>
      <xdr:rowOff>0</xdr:rowOff>
    </xdr:from>
    <xdr:ext cx="6858000" cy="9525"/>
    <xdr:sp macro="" textlink="">
      <xdr:nvSpPr>
        <xdr:cNvPr id="55" name="Shape 55">
          <a:extLst>
            <a:ext uri="{FF2B5EF4-FFF2-40B4-BE49-F238E27FC236}">
              <a16:creationId xmlns:a16="http://schemas.microsoft.com/office/drawing/2014/main" id="{00000000-0008-0000-0000-000037000000}"/>
            </a:ext>
          </a:extLst>
        </xdr:cNvPr>
        <xdr:cNvSpPr/>
      </xdr:nvSpPr>
      <xdr:spPr>
        <a:xfrm>
          <a:off x="0" y="0"/>
          <a:ext cx="6858000" cy="9525"/>
        </a:xfrm>
        <a:custGeom>
          <a:avLst/>
          <a:gdLst/>
          <a:ahLst/>
          <a:cxnLst/>
          <a:rect l="0" t="0" r="0" b="0"/>
          <a:pathLst>
            <a:path w="6858000" h="9525">
              <a:moveTo>
                <a:pt x="0" y="0"/>
              </a:moveTo>
              <a:lnTo>
                <a:pt x="6858000" y="0"/>
              </a:lnTo>
              <a:lnTo>
                <a:pt x="6858000" y="9524"/>
              </a:lnTo>
              <a:lnTo>
                <a:pt x="0" y="9524"/>
              </a:lnTo>
              <a:lnTo>
                <a:pt x="0" y="0"/>
              </a:lnTo>
              <a:close/>
            </a:path>
          </a:pathLst>
        </a:custGeom>
        <a:solidFill>
          <a:srgbClr val="D8D8D8"/>
        </a:solidFill>
      </xdr:spPr>
    </xdr:sp>
    <xdr:clientData/>
  </xdr:oneCellAnchor>
  <xdr:oneCellAnchor>
    <xdr:from>
      <xdr:col>0</xdr:col>
      <xdr:colOff>457200</xdr:colOff>
      <xdr:row>90</xdr:row>
      <xdr:rowOff>0</xdr:rowOff>
    </xdr:from>
    <xdr:ext cx="6858000" cy="9525"/>
    <xdr:sp macro="" textlink="">
      <xdr:nvSpPr>
        <xdr:cNvPr id="56" name="Shape 56">
          <a:extLst>
            <a:ext uri="{FF2B5EF4-FFF2-40B4-BE49-F238E27FC236}">
              <a16:creationId xmlns:a16="http://schemas.microsoft.com/office/drawing/2014/main" id="{00000000-0008-0000-0000-000038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91</xdr:row>
      <xdr:rowOff>0</xdr:rowOff>
    </xdr:from>
    <xdr:ext cx="6858000" cy="9525"/>
    <xdr:sp macro="" textlink="">
      <xdr:nvSpPr>
        <xdr:cNvPr id="57" name="Shape 57">
          <a:extLst>
            <a:ext uri="{FF2B5EF4-FFF2-40B4-BE49-F238E27FC236}">
              <a16:creationId xmlns:a16="http://schemas.microsoft.com/office/drawing/2014/main" id="{00000000-0008-0000-0000-000039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92</xdr:row>
      <xdr:rowOff>0</xdr:rowOff>
    </xdr:from>
    <xdr:ext cx="6858000" cy="9525"/>
    <xdr:sp macro="" textlink="">
      <xdr:nvSpPr>
        <xdr:cNvPr id="58" name="Shape 58">
          <a:extLst>
            <a:ext uri="{FF2B5EF4-FFF2-40B4-BE49-F238E27FC236}">
              <a16:creationId xmlns:a16="http://schemas.microsoft.com/office/drawing/2014/main" id="{00000000-0008-0000-0000-00003A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93</xdr:row>
      <xdr:rowOff>0</xdr:rowOff>
    </xdr:from>
    <xdr:ext cx="6858000" cy="9525"/>
    <xdr:sp macro="" textlink="">
      <xdr:nvSpPr>
        <xdr:cNvPr id="59" name="Shape 59">
          <a:extLst>
            <a:ext uri="{FF2B5EF4-FFF2-40B4-BE49-F238E27FC236}">
              <a16:creationId xmlns:a16="http://schemas.microsoft.com/office/drawing/2014/main" id="{00000000-0008-0000-0000-00003B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95</xdr:row>
      <xdr:rowOff>163195</xdr:rowOff>
    </xdr:from>
    <xdr:ext cx="6858000" cy="9525"/>
    <xdr:sp macro="" textlink="">
      <xdr:nvSpPr>
        <xdr:cNvPr id="60" name="Shape 60">
          <a:extLst>
            <a:ext uri="{FF2B5EF4-FFF2-40B4-BE49-F238E27FC236}">
              <a16:creationId xmlns:a16="http://schemas.microsoft.com/office/drawing/2014/main" id="{00000000-0008-0000-0000-00003C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95</xdr:row>
      <xdr:rowOff>175895</xdr:rowOff>
    </xdr:from>
    <xdr:ext cx="6858000" cy="9525"/>
    <xdr:sp macro="" textlink="">
      <xdr:nvSpPr>
        <xdr:cNvPr id="61" name="Shape 61">
          <a:extLst>
            <a:ext uri="{FF2B5EF4-FFF2-40B4-BE49-F238E27FC236}">
              <a16:creationId xmlns:a16="http://schemas.microsoft.com/office/drawing/2014/main" id="{00000000-0008-0000-0000-00003D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9" name="Shape 69">
          <a:extLst>
            <a:ext uri="{FF2B5EF4-FFF2-40B4-BE49-F238E27FC236}">
              <a16:creationId xmlns:a16="http://schemas.microsoft.com/office/drawing/2014/main" id="{00000000-0008-0000-0800-000045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0.xml><?xml version="1.0" encoding="utf-8"?>
<xdr:wsDr xmlns:xdr="http://schemas.openxmlformats.org/drawingml/2006/spreadsheetDrawing" xmlns:a="http://schemas.openxmlformats.org/drawingml/2006/main">
  <xdr:oneCellAnchor>
    <xdr:from>
      <xdr:col>0</xdr:col>
      <xdr:colOff>462026</xdr:colOff>
      <xdr:row>39</xdr:row>
      <xdr:rowOff>0</xdr:rowOff>
    </xdr:from>
    <xdr:ext cx="6848475" cy="19050"/>
    <xdr:sp macro="" textlink="">
      <xdr:nvSpPr>
        <xdr:cNvPr id="158" name="Shape 158">
          <a:extLst>
            <a:ext uri="{FF2B5EF4-FFF2-40B4-BE49-F238E27FC236}">
              <a16:creationId xmlns:a16="http://schemas.microsoft.com/office/drawing/2014/main" id="{00000000-0008-0000-6100-00009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oneCellAnchor>
    <xdr:from>
      <xdr:col>0</xdr:col>
      <xdr:colOff>88900</xdr:colOff>
      <xdr:row>40</xdr:row>
      <xdr:rowOff>255587</xdr:rowOff>
    </xdr:from>
    <xdr:ext cx="6858000" cy="28575"/>
    <xdr:sp macro="" textlink="">
      <xdr:nvSpPr>
        <xdr:cNvPr id="159" name="Shape 159">
          <a:extLst>
            <a:ext uri="{FF2B5EF4-FFF2-40B4-BE49-F238E27FC236}">
              <a16:creationId xmlns:a16="http://schemas.microsoft.com/office/drawing/2014/main" id="{00000000-0008-0000-6100-00009F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69</xdr:row>
      <xdr:rowOff>0</xdr:rowOff>
    </xdr:from>
    <xdr:ext cx="6858000" cy="9525"/>
    <xdr:sp macro="" textlink="">
      <xdr:nvSpPr>
        <xdr:cNvPr id="160" name="Shape 160">
          <a:extLst>
            <a:ext uri="{FF2B5EF4-FFF2-40B4-BE49-F238E27FC236}">
              <a16:creationId xmlns:a16="http://schemas.microsoft.com/office/drawing/2014/main" id="{00000000-0008-0000-6100-0000A0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BABABA"/>
        </a:solidFill>
      </xdr:spPr>
    </xdr:sp>
    <xdr:clientData/>
  </xdr:oneCellAnchor>
  <xdr:oneCellAnchor>
    <xdr:from>
      <xdr:col>0</xdr:col>
      <xdr:colOff>457200</xdr:colOff>
      <xdr:row>70</xdr:row>
      <xdr:rowOff>0</xdr:rowOff>
    </xdr:from>
    <xdr:ext cx="6858000" cy="19050"/>
    <xdr:sp macro="" textlink="">
      <xdr:nvSpPr>
        <xdr:cNvPr id="161" name="Shape 161">
          <a:extLst>
            <a:ext uri="{FF2B5EF4-FFF2-40B4-BE49-F238E27FC236}">
              <a16:creationId xmlns:a16="http://schemas.microsoft.com/office/drawing/2014/main" id="{00000000-0008-0000-6100-0000A1000000}"/>
            </a:ext>
          </a:extLst>
        </xdr:cNvPr>
        <xdr:cNvSpPr/>
      </xdr:nvSpPr>
      <xdr:spPr>
        <a:xfrm>
          <a:off x="0" y="0"/>
          <a:ext cx="6858000" cy="19050"/>
        </a:xfrm>
        <a:custGeom>
          <a:avLst/>
          <a:gdLst/>
          <a:ahLst/>
          <a:cxnLst/>
          <a:rect l="0" t="0" r="0" b="0"/>
          <a:pathLst>
            <a:path w="6858000" h="19050">
              <a:moveTo>
                <a:pt x="0" y="0"/>
              </a:moveTo>
              <a:lnTo>
                <a:pt x="6858000" y="0"/>
              </a:lnTo>
              <a:lnTo>
                <a:pt x="6858000" y="19050"/>
              </a:lnTo>
              <a:lnTo>
                <a:pt x="0" y="19050"/>
              </a:lnTo>
              <a:lnTo>
                <a:pt x="0" y="0"/>
              </a:lnTo>
              <a:close/>
            </a:path>
          </a:pathLst>
        </a:custGeom>
        <a:solidFill>
          <a:srgbClr val="BABABA"/>
        </a:solidFill>
      </xdr:spPr>
    </xdr:sp>
    <xdr:clientData/>
  </xdr:oneCellAnchor>
  <xdr:oneCellAnchor>
    <xdr:from>
      <xdr:col>0</xdr:col>
      <xdr:colOff>457200</xdr:colOff>
      <xdr:row>71</xdr:row>
      <xdr:rowOff>0</xdr:rowOff>
    </xdr:from>
    <xdr:ext cx="6857999" cy="3750183"/>
    <xdr:pic>
      <xdr:nvPicPr>
        <xdr:cNvPr id="162" name="image3.png">
          <a:extLst>
            <a:ext uri="{FF2B5EF4-FFF2-40B4-BE49-F238E27FC236}">
              <a16:creationId xmlns:a16="http://schemas.microsoft.com/office/drawing/2014/main" id="{00000000-0008-0000-6100-0000A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57999" cy="3750183"/>
        </a:xfrm>
        <a:prstGeom prst="rect">
          <a:avLst/>
        </a:prstGeom>
      </xdr:spPr>
    </xdr:pic>
    <xdr:clientData/>
  </xdr:oneCellAnchor>
  <xdr:oneCellAnchor>
    <xdr:from>
      <xdr:col>0</xdr:col>
      <xdr:colOff>457200</xdr:colOff>
      <xdr:row>82</xdr:row>
      <xdr:rowOff>163192</xdr:rowOff>
    </xdr:from>
    <xdr:ext cx="6858000" cy="28575"/>
    <xdr:sp macro="" textlink="">
      <xdr:nvSpPr>
        <xdr:cNvPr id="163" name="Shape 163">
          <a:extLst>
            <a:ext uri="{FF2B5EF4-FFF2-40B4-BE49-F238E27FC236}">
              <a16:creationId xmlns:a16="http://schemas.microsoft.com/office/drawing/2014/main" id="{00000000-0008-0000-6100-0000A3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0</xdr:col>
      <xdr:colOff>457200</xdr:colOff>
      <xdr:row>84</xdr:row>
      <xdr:rowOff>-2</xdr:rowOff>
    </xdr:from>
    <xdr:ext cx="6858000" cy="9525"/>
    <xdr:sp macro="" textlink="">
      <xdr:nvSpPr>
        <xdr:cNvPr id="164" name="Shape 164">
          <a:extLst>
            <a:ext uri="{FF2B5EF4-FFF2-40B4-BE49-F238E27FC236}">
              <a16:creationId xmlns:a16="http://schemas.microsoft.com/office/drawing/2014/main" id="{00000000-0008-0000-6100-0000A4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85</xdr:row>
      <xdr:rowOff>-2</xdr:rowOff>
    </xdr:from>
    <xdr:ext cx="6858000" cy="9525"/>
    <xdr:sp macro="" textlink="">
      <xdr:nvSpPr>
        <xdr:cNvPr id="165" name="Shape 165">
          <a:extLst>
            <a:ext uri="{FF2B5EF4-FFF2-40B4-BE49-F238E27FC236}">
              <a16:creationId xmlns:a16="http://schemas.microsoft.com/office/drawing/2014/main" id="{00000000-0008-0000-6100-0000A5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oneCellAnchor>
    <xdr:from>
      <xdr:col>0</xdr:col>
      <xdr:colOff>457200</xdr:colOff>
      <xdr:row>86</xdr:row>
      <xdr:rowOff>-2</xdr:rowOff>
    </xdr:from>
    <xdr:ext cx="6858000" cy="9525"/>
    <xdr:sp macro="" textlink="">
      <xdr:nvSpPr>
        <xdr:cNvPr id="166" name="Shape 166">
          <a:extLst>
            <a:ext uri="{FF2B5EF4-FFF2-40B4-BE49-F238E27FC236}">
              <a16:creationId xmlns:a16="http://schemas.microsoft.com/office/drawing/2014/main" id="{00000000-0008-0000-6100-0000A6000000}"/>
            </a:ext>
          </a:extLst>
        </xdr:cNvPr>
        <xdr:cNvSpPr/>
      </xdr:nvSpPr>
      <xdr:spPr>
        <a:xfrm>
          <a:off x="0" y="0"/>
          <a:ext cx="6858000" cy="9525"/>
        </a:xfrm>
        <a:custGeom>
          <a:avLst/>
          <a:gdLst/>
          <a:ahLst/>
          <a:cxnLst/>
          <a:rect l="0" t="0" r="0" b="0"/>
          <a:pathLst>
            <a:path w="6858000" h="9525">
              <a:moveTo>
                <a:pt x="0" y="0"/>
              </a:moveTo>
              <a:lnTo>
                <a:pt x="6858000" y="0"/>
              </a:lnTo>
              <a:lnTo>
                <a:pt x="6858000" y="9525"/>
              </a:lnTo>
              <a:lnTo>
                <a:pt x="0" y="9525"/>
              </a:lnTo>
              <a:lnTo>
                <a:pt x="0" y="0"/>
              </a:lnTo>
              <a:close/>
            </a:path>
          </a:pathLst>
        </a:custGeom>
        <a:solidFill>
          <a:srgbClr val="D8D8D8"/>
        </a:solidFill>
      </xdr:spPr>
    </xdr:sp>
    <xdr:clientData/>
  </xdr:oneCellAnchor>
</xdr:wsDr>
</file>

<file path=xl/drawings/drawing101.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7" name="Shape 167">
          <a:extLst>
            <a:ext uri="{FF2B5EF4-FFF2-40B4-BE49-F238E27FC236}">
              <a16:creationId xmlns:a16="http://schemas.microsoft.com/office/drawing/2014/main" id="{00000000-0008-0000-6200-0000A7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2.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8" name="Shape 168">
          <a:extLst>
            <a:ext uri="{FF2B5EF4-FFF2-40B4-BE49-F238E27FC236}">
              <a16:creationId xmlns:a16="http://schemas.microsoft.com/office/drawing/2014/main" id="{00000000-0008-0000-6300-0000A8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3.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69" name="Shape 169">
          <a:extLst>
            <a:ext uri="{FF2B5EF4-FFF2-40B4-BE49-F238E27FC236}">
              <a16:creationId xmlns:a16="http://schemas.microsoft.com/office/drawing/2014/main" id="{00000000-0008-0000-6400-0000A9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4.xml><?xml version="1.0" encoding="utf-8"?>
<xdr:wsDr xmlns:xdr="http://schemas.openxmlformats.org/drawingml/2006/spreadsheetDrawing" xmlns:a="http://schemas.openxmlformats.org/drawingml/2006/main">
  <xdr:oneCellAnchor>
    <xdr:from>
      <xdr:col>1</xdr:col>
      <xdr:colOff>152146</xdr:colOff>
      <xdr:row>7</xdr:row>
      <xdr:rowOff>0</xdr:rowOff>
    </xdr:from>
    <xdr:ext cx="6848475" cy="19050"/>
    <xdr:sp macro="" textlink="">
      <xdr:nvSpPr>
        <xdr:cNvPr id="170" name="Shape 170">
          <a:extLst>
            <a:ext uri="{FF2B5EF4-FFF2-40B4-BE49-F238E27FC236}">
              <a16:creationId xmlns:a16="http://schemas.microsoft.com/office/drawing/2014/main" id="{00000000-0008-0000-6500-0000AA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105.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1" name="Shape 171">
          <a:extLst>
            <a:ext uri="{FF2B5EF4-FFF2-40B4-BE49-F238E27FC236}">
              <a16:creationId xmlns:a16="http://schemas.microsoft.com/office/drawing/2014/main" id="{00000000-0008-0000-6600-0000A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6.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2" name="Shape 172">
          <a:extLst>
            <a:ext uri="{FF2B5EF4-FFF2-40B4-BE49-F238E27FC236}">
              <a16:creationId xmlns:a16="http://schemas.microsoft.com/office/drawing/2014/main" id="{00000000-0008-0000-6700-0000A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7.xml><?xml version="1.0" encoding="utf-8"?>
<xdr:wsDr xmlns:xdr="http://schemas.openxmlformats.org/drawingml/2006/spreadsheetDrawing" xmlns:a="http://schemas.openxmlformats.org/drawingml/2006/main">
  <xdr:oneCellAnchor>
    <xdr:from>
      <xdr:col>1</xdr:col>
      <xdr:colOff>152146</xdr:colOff>
      <xdr:row>1</xdr:row>
      <xdr:rowOff>0</xdr:rowOff>
    </xdr:from>
    <xdr:ext cx="6848475" cy="19050"/>
    <xdr:sp macro="" textlink="">
      <xdr:nvSpPr>
        <xdr:cNvPr id="173" name="Shape 173">
          <a:extLst>
            <a:ext uri="{FF2B5EF4-FFF2-40B4-BE49-F238E27FC236}">
              <a16:creationId xmlns:a16="http://schemas.microsoft.com/office/drawing/2014/main" id="{00000000-0008-0000-6800-0000A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08.xml><?xml version="1.0" encoding="utf-8"?>
<xdr:wsDr xmlns:xdr="http://schemas.openxmlformats.org/drawingml/2006/spreadsheetDrawing" xmlns:a="http://schemas.openxmlformats.org/drawingml/2006/main">
  <xdr:oneCellAnchor>
    <xdr:from>
      <xdr:col>1</xdr:col>
      <xdr:colOff>152146</xdr:colOff>
      <xdr:row>20</xdr:row>
      <xdr:rowOff>0</xdr:rowOff>
    </xdr:from>
    <xdr:ext cx="6848475" cy="19050"/>
    <xdr:sp macro="" textlink="">
      <xdr:nvSpPr>
        <xdr:cNvPr id="174" name="Shape 174">
          <a:extLst>
            <a:ext uri="{FF2B5EF4-FFF2-40B4-BE49-F238E27FC236}">
              <a16:creationId xmlns:a16="http://schemas.microsoft.com/office/drawing/2014/main" id="{00000000-0008-0000-6900-0000A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oneCellAnchor>
    <xdr:from>
      <xdr:col>1</xdr:col>
      <xdr:colOff>147320</xdr:colOff>
      <xdr:row>23</xdr:row>
      <xdr:rowOff>0</xdr:rowOff>
    </xdr:from>
    <xdr:ext cx="6858000" cy="28575"/>
    <xdr:sp macro="" textlink="">
      <xdr:nvSpPr>
        <xdr:cNvPr id="175" name="Shape 175">
          <a:extLst>
            <a:ext uri="{FF2B5EF4-FFF2-40B4-BE49-F238E27FC236}">
              <a16:creationId xmlns:a16="http://schemas.microsoft.com/office/drawing/2014/main" id="{00000000-0008-0000-6900-0000AF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1</xdr:col>
      <xdr:colOff>147320</xdr:colOff>
      <xdr:row>27</xdr:row>
      <xdr:rowOff>0</xdr:rowOff>
    </xdr:from>
    <xdr:ext cx="6858000" cy="28575"/>
    <xdr:sp macro="" textlink="">
      <xdr:nvSpPr>
        <xdr:cNvPr id="176" name="Shape 176">
          <a:extLst>
            <a:ext uri="{FF2B5EF4-FFF2-40B4-BE49-F238E27FC236}">
              <a16:creationId xmlns:a16="http://schemas.microsoft.com/office/drawing/2014/main" id="{00000000-0008-0000-6900-0000B0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oneCellAnchor>
    <xdr:from>
      <xdr:col>1</xdr:col>
      <xdr:colOff>147320</xdr:colOff>
      <xdr:row>31</xdr:row>
      <xdr:rowOff>0</xdr:rowOff>
    </xdr:from>
    <xdr:ext cx="6858000" cy="28575"/>
    <xdr:sp macro="" textlink="">
      <xdr:nvSpPr>
        <xdr:cNvPr id="177" name="Shape 177">
          <a:extLst>
            <a:ext uri="{FF2B5EF4-FFF2-40B4-BE49-F238E27FC236}">
              <a16:creationId xmlns:a16="http://schemas.microsoft.com/office/drawing/2014/main" id="{00000000-0008-0000-6900-0000B1000000}"/>
            </a:ext>
          </a:extLst>
        </xdr:cNvPr>
        <xdr:cNvSpPr/>
      </xdr:nvSpPr>
      <xdr:spPr>
        <a:xfrm>
          <a:off x="0" y="0"/>
          <a:ext cx="6858000" cy="28575"/>
        </a:xfrm>
        <a:custGeom>
          <a:avLst/>
          <a:gdLst/>
          <a:ahLst/>
          <a:cxnLst/>
          <a:rect l="0" t="0" r="0" b="0"/>
          <a:pathLst>
            <a:path w="6858000" h="28575">
              <a:moveTo>
                <a:pt x="6858000" y="0"/>
              </a:moveTo>
              <a:lnTo>
                <a:pt x="0" y="0"/>
              </a:lnTo>
              <a:lnTo>
                <a:pt x="0" y="28575"/>
              </a:lnTo>
              <a:lnTo>
                <a:pt x="6858000" y="28575"/>
              </a:lnTo>
              <a:lnTo>
                <a:pt x="6858000" y="0"/>
              </a:lnTo>
              <a:close/>
            </a:path>
          </a:pathLst>
        </a:custGeom>
        <a:solidFill>
          <a:srgbClr val="004E9D"/>
        </a:solidFill>
      </xdr:spPr>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0" name="Shape 70">
          <a:extLst>
            <a:ext uri="{FF2B5EF4-FFF2-40B4-BE49-F238E27FC236}">
              <a16:creationId xmlns:a16="http://schemas.microsoft.com/office/drawing/2014/main" id="{00000000-0008-0000-0900-000046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1" name="Shape 71">
          <a:extLst>
            <a:ext uri="{FF2B5EF4-FFF2-40B4-BE49-F238E27FC236}">
              <a16:creationId xmlns:a16="http://schemas.microsoft.com/office/drawing/2014/main" id="{00000000-0008-0000-0A00-000047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72" name="Shape 72">
          <a:extLst>
            <a:ext uri="{FF2B5EF4-FFF2-40B4-BE49-F238E27FC236}">
              <a16:creationId xmlns:a16="http://schemas.microsoft.com/office/drawing/2014/main" id="{00000000-0008-0000-0B00-000048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462026</xdr:colOff>
      <xdr:row>25</xdr:row>
      <xdr:rowOff>0</xdr:rowOff>
    </xdr:from>
    <xdr:ext cx="6848475" cy="19050"/>
    <xdr:sp macro="" textlink="">
      <xdr:nvSpPr>
        <xdr:cNvPr id="73" name="Shape 73">
          <a:extLst>
            <a:ext uri="{FF2B5EF4-FFF2-40B4-BE49-F238E27FC236}">
              <a16:creationId xmlns:a16="http://schemas.microsoft.com/office/drawing/2014/main" id="{00000000-0008-0000-0C00-000049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4" name="Shape 74">
          <a:extLst>
            <a:ext uri="{FF2B5EF4-FFF2-40B4-BE49-F238E27FC236}">
              <a16:creationId xmlns:a16="http://schemas.microsoft.com/office/drawing/2014/main" id="{00000000-0008-0000-0D00-00004A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twoCellAnchor>
    <xdr:from>
      <xdr:col>15</xdr:col>
      <xdr:colOff>1005840</xdr:colOff>
      <xdr:row>154</xdr:row>
      <xdr:rowOff>53346</xdr:rowOff>
    </xdr:from>
    <xdr:to>
      <xdr:col>19</xdr:col>
      <xdr:colOff>571500</xdr:colOff>
      <xdr:row>170</xdr:row>
      <xdr:rowOff>114306</xdr:rowOff>
    </xdr:to>
    <xdr:graphicFrame macro="">
      <xdr:nvGraphicFramePr>
        <xdr:cNvPr id="2" name="Chart 1">
          <a:extLst>
            <a:ext uri="{FF2B5EF4-FFF2-40B4-BE49-F238E27FC236}">
              <a16:creationId xmlns:a16="http://schemas.microsoft.com/office/drawing/2014/main" id="{316AFD42-C6C6-2513-EC41-A0AD20CC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5" name="Shape 75">
          <a:extLst>
            <a:ext uri="{FF2B5EF4-FFF2-40B4-BE49-F238E27FC236}">
              <a16:creationId xmlns:a16="http://schemas.microsoft.com/office/drawing/2014/main" id="{00000000-0008-0000-0E00-00004B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6" name="Shape 76">
          <a:extLst>
            <a:ext uri="{FF2B5EF4-FFF2-40B4-BE49-F238E27FC236}">
              <a16:creationId xmlns:a16="http://schemas.microsoft.com/office/drawing/2014/main" id="{00000000-0008-0000-0F00-00004C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462026</xdr:colOff>
      <xdr:row>1</xdr:row>
      <xdr:rowOff>0</xdr:rowOff>
    </xdr:from>
    <xdr:ext cx="17821275" cy="19050"/>
    <xdr:sp macro="" textlink="">
      <xdr:nvSpPr>
        <xdr:cNvPr id="77" name="Shape 77">
          <a:extLst>
            <a:ext uri="{FF2B5EF4-FFF2-40B4-BE49-F238E27FC236}">
              <a16:creationId xmlns:a16="http://schemas.microsoft.com/office/drawing/2014/main" id="{00000000-0008-0000-1000-00004D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462026</xdr:colOff>
      <xdr:row>29</xdr:row>
      <xdr:rowOff>0</xdr:rowOff>
    </xdr:from>
    <xdr:ext cx="17821275" cy="19050"/>
    <xdr:sp macro="" textlink="">
      <xdr:nvSpPr>
        <xdr:cNvPr id="78" name="Shape 78">
          <a:extLst>
            <a:ext uri="{FF2B5EF4-FFF2-40B4-BE49-F238E27FC236}">
              <a16:creationId xmlns:a16="http://schemas.microsoft.com/office/drawing/2014/main" id="{00000000-0008-0000-1100-00004E000000}"/>
            </a:ext>
          </a:extLst>
        </xdr:cNvPr>
        <xdr:cNvSpPr/>
      </xdr:nvSpPr>
      <xdr:spPr>
        <a:xfrm>
          <a:off x="0" y="0"/>
          <a:ext cx="17821275" cy="19050"/>
        </a:xfrm>
        <a:custGeom>
          <a:avLst/>
          <a:gdLst/>
          <a:ahLst/>
          <a:cxnLst/>
          <a:rect l="0" t="0" r="0" b="0"/>
          <a:pathLst>
            <a:path w="17821275" h="19050">
              <a:moveTo>
                <a:pt x="0" y="0"/>
              </a:moveTo>
              <a:lnTo>
                <a:pt x="17821275" y="0"/>
              </a:lnTo>
              <a:lnTo>
                <a:pt x="17821275" y="19050"/>
              </a:lnTo>
              <a:lnTo>
                <a:pt x="0" y="19050"/>
              </a:lnTo>
              <a:lnTo>
                <a:pt x="0" y="0"/>
              </a:lnTo>
              <a:close/>
            </a:path>
          </a:pathLst>
        </a:custGeom>
        <a:solidFill>
          <a:srgbClr val="BABABA"/>
        </a:solidFill>
      </xdr:spPr>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883920</xdr:colOff>
      <xdr:row>10</xdr:row>
      <xdr:rowOff>140970</xdr:rowOff>
    </xdr:from>
    <xdr:to>
      <xdr:col>6</xdr:col>
      <xdr:colOff>487680</xdr:colOff>
      <xdr:row>27</xdr:row>
      <xdr:rowOff>34290</xdr:rowOff>
    </xdr:to>
    <xdr:graphicFrame macro="">
      <xdr:nvGraphicFramePr>
        <xdr:cNvPr id="2" name="Chart 1">
          <a:extLst>
            <a:ext uri="{FF2B5EF4-FFF2-40B4-BE49-F238E27FC236}">
              <a16:creationId xmlns:a16="http://schemas.microsoft.com/office/drawing/2014/main" id="{F1AAB752-31C4-0C6E-5F4D-E0C57B9D8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10</xdr:row>
      <xdr:rowOff>19050</xdr:rowOff>
    </xdr:from>
    <xdr:to>
      <xdr:col>14</xdr:col>
      <xdr:colOff>38100</xdr:colOff>
      <xdr:row>26</xdr:row>
      <xdr:rowOff>80010</xdr:rowOff>
    </xdr:to>
    <xdr:graphicFrame macro="">
      <xdr:nvGraphicFramePr>
        <xdr:cNvPr id="3" name="Chart 2">
          <a:extLst>
            <a:ext uri="{FF2B5EF4-FFF2-40B4-BE49-F238E27FC236}">
              <a16:creationId xmlns:a16="http://schemas.microsoft.com/office/drawing/2014/main" id="{DC60293B-2374-149E-D485-0DEFCBF34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45720</xdr:colOff>
      <xdr:row>10</xdr:row>
      <xdr:rowOff>15240</xdr:rowOff>
    </xdr:from>
    <xdr:to>
      <xdr:col>20</xdr:col>
      <xdr:colOff>198120</xdr:colOff>
      <xdr:row>26</xdr:row>
      <xdr:rowOff>76200</xdr:rowOff>
    </xdr:to>
    <xdr:graphicFrame macro="">
      <xdr:nvGraphicFramePr>
        <xdr:cNvPr id="4" name="Chart 3">
          <a:extLst>
            <a:ext uri="{FF2B5EF4-FFF2-40B4-BE49-F238E27FC236}">
              <a16:creationId xmlns:a16="http://schemas.microsoft.com/office/drawing/2014/main" id="{B85F7709-CF37-44D3-B4EB-B861AE823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79" name="Shape 79">
          <a:extLst>
            <a:ext uri="{FF2B5EF4-FFF2-40B4-BE49-F238E27FC236}">
              <a16:creationId xmlns:a16="http://schemas.microsoft.com/office/drawing/2014/main" id="{00000000-0008-0000-1200-00004F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0" name="Shape 80">
          <a:extLst>
            <a:ext uri="{FF2B5EF4-FFF2-40B4-BE49-F238E27FC236}">
              <a16:creationId xmlns:a16="http://schemas.microsoft.com/office/drawing/2014/main" id="{00000000-0008-0000-1300-000050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1" name="Shape 81">
          <a:extLst>
            <a:ext uri="{FF2B5EF4-FFF2-40B4-BE49-F238E27FC236}">
              <a16:creationId xmlns:a16="http://schemas.microsoft.com/office/drawing/2014/main" id="{00000000-0008-0000-1400-000051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462026</xdr:colOff>
      <xdr:row>1</xdr:row>
      <xdr:rowOff>0</xdr:rowOff>
    </xdr:from>
    <xdr:ext cx="20564475" cy="19050"/>
    <xdr:sp macro="" textlink="">
      <xdr:nvSpPr>
        <xdr:cNvPr id="82" name="Shape 82">
          <a:extLst>
            <a:ext uri="{FF2B5EF4-FFF2-40B4-BE49-F238E27FC236}">
              <a16:creationId xmlns:a16="http://schemas.microsoft.com/office/drawing/2014/main" id="{00000000-0008-0000-1500-000052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462026</xdr:colOff>
      <xdr:row>29</xdr:row>
      <xdr:rowOff>0</xdr:rowOff>
    </xdr:from>
    <xdr:ext cx="20564475" cy="19050"/>
    <xdr:sp macro="" textlink="">
      <xdr:nvSpPr>
        <xdr:cNvPr id="83" name="Shape 83">
          <a:extLst>
            <a:ext uri="{FF2B5EF4-FFF2-40B4-BE49-F238E27FC236}">
              <a16:creationId xmlns:a16="http://schemas.microsoft.com/office/drawing/2014/main" id="{00000000-0008-0000-1600-000053000000}"/>
            </a:ext>
          </a:extLst>
        </xdr:cNvPr>
        <xdr:cNvSpPr/>
      </xdr:nvSpPr>
      <xdr:spPr>
        <a:xfrm>
          <a:off x="0" y="0"/>
          <a:ext cx="20564475" cy="19050"/>
        </a:xfrm>
        <a:custGeom>
          <a:avLst/>
          <a:gdLst/>
          <a:ahLst/>
          <a:cxnLst/>
          <a:rect l="0" t="0" r="0" b="0"/>
          <a:pathLst>
            <a:path w="20564475" h="19050">
              <a:moveTo>
                <a:pt x="0" y="0"/>
              </a:moveTo>
              <a:lnTo>
                <a:pt x="20564347" y="0"/>
              </a:lnTo>
              <a:lnTo>
                <a:pt x="20564347" y="19050"/>
              </a:lnTo>
              <a:lnTo>
                <a:pt x="0" y="19050"/>
              </a:lnTo>
              <a:lnTo>
                <a:pt x="0" y="0"/>
              </a:lnTo>
              <a:close/>
            </a:path>
          </a:pathLst>
        </a:custGeom>
        <a:solidFill>
          <a:srgbClr val="BABABA"/>
        </a:solidFill>
      </xdr:spPr>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462026</xdr:colOff>
      <xdr:row>32</xdr:row>
      <xdr:rowOff>0</xdr:rowOff>
    </xdr:from>
    <xdr:ext cx="18735675" cy="19050"/>
    <xdr:sp macro="" textlink="">
      <xdr:nvSpPr>
        <xdr:cNvPr id="84" name="Shape 84">
          <a:extLst>
            <a:ext uri="{FF2B5EF4-FFF2-40B4-BE49-F238E27FC236}">
              <a16:creationId xmlns:a16="http://schemas.microsoft.com/office/drawing/2014/main" id="{00000000-0008-0000-1700-000054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26.xml><?xml version="1.0" encoding="utf-8"?>
<xdr:wsDr xmlns:xdr="http://schemas.openxmlformats.org/drawingml/2006/spreadsheetDrawing" xmlns:a="http://schemas.openxmlformats.org/drawingml/2006/main">
  <xdr:oneCellAnchor>
    <xdr:from>
      <xdr:col>0</xdr:col>
      <xdr:colOff>462026</xdr:colOff>
      <xdr:row>15</xdr:row>
      <xdr:rowOff>0</xdr:rowOff>
    </xdr:from>
    <xdr:ext cx="16449675" cy="19050"/>
    <xdr:sp macro="" textlink="">
      <xdr:nvSpPr>
        <xdr:cNvPr id="86" name="Shape 86">
          <a:extLst>
            <a:ext uri="{FF2B5EF4-FFF2-40B4-BE49-F238E27FC236}">
              <a16:creationId xmlns:a16="http://schemas.microsoft.com/office/drawing/2014/main" id="{00000000-0008-0000-1900-000056000000}"/>
            </a:ext>
          </a:extLst>
        </xdr:cNvPr>
        <xdr:cNvSpPr/>
      </xdr:nvSpPr>
      <xdr:spPr>
        <a:xfrm>
          <a:off x="0" y="0"/>
          <a:ext cx="16449675" cy="19050"/>
        </a:xfrm>
        <a:custGeom>
          <a:avLst/>
          <a:gdLst/>
          <a:ahLst/>
          <a:cxnLst/>
          <a:rect l="0" t="0" r="0" b="0"/>
          <a:pathLst>
            <a:path w="16449675" h="19050">
              <a:moveTo>
                <a:pt x="0" y="0"/>
              </a:moveTo>
              <a:lnTo>
                <a:pt x="16449547" y="0"/>
              </a:lnTo>
              <a:lnTo>
                <a:pt x="16449547" y="19050"/>
              </a:lnTo>
              <a:lnTo>
                <a:pt x="0" y="19050"/>
              </a:lnTo>
              <a:lnTo>
                <a:pt x="0" y="0"/>
              </a:lnTo>
              <a:close/>
            </a:path>
          </a:pathLst>
        </a:custGeom>
        <a:solidFill>
          <a:srgbClr val="BABABA"/>
        </a:solidFill>
      </xdr:spPr>
    </xdr:sp>
    <xdr:clientData/>
  </xdr:oneCellAnchor>
</xdr:wsDr>
</file>

<file path=xl/drawings/drawing27.xml><?xml version="1.0" encoding="utf-8"?>
<xdr:wsDr xmlns:xdr="http://schemas.openxmlformats.org/drawingml/2006/spreadsheetDrawing" xmlns:a="http://schemas.openxmlformats.org/drawingml/2006/main">
  <xdr:oneCellAnchor>
    <xdr:from>
      <xdr:col>0</xdr:col>
      <xdr:colOff>462026</xdr:colOff>
      <xdr:row>1</xdr:row>
      <xdr:rowOff>0</xdr:rowOff>
    </xdr:from>
    <xdr:ext cx="16449675" cy="19050"/>
    <xdr:sp macro="" textlink="">
      <xdr:nvSpPr>
        <xdr:cNvPr id="85" name="Shape 85">
          <a:extLst>
            <a:ext uri="{FF2B5EF4-FFF2-40B4-BE49-F238E27FC236}">
              <a16:creationId xmlns:a16="http://schemas.microsoft.com/office/drawing/2014/main" id="{00000000-0008-0000-1800-000055000000}"/>
            </a:ext>
          </a:extLst>
        </xdr:cNvPr>
        <xdr:cNvSpPr/>
      </xdr:nvSpPr>
      <xdr:spPr>
        <a:xfrm>
          <a:off x="0" y="0"/>
          <a:ext cx="16449675" cy="19050"/>
        </a:xfrm>
        <a:custGeom>
          <a:avLst/>
          <a:gdLst/>
          <a:ahLst/>
          <a:cxnLst/>
          <a:rect l="0" t="0" r="0" b="0"/>
          <a:pathLst>
            <a:path w="16449675" h="19050">
              <a:moveTo>
                <a:pt x="0" y="0"/>
              </a:moveTo>
              <a:lnTo>
                <a:pt x="16449547" y="0"/>
              </a:lnTo>
              <a:lnTo>
                <a:pt x="16449547" y="19050"/>
              </a:lnTo>
              <a:lnTo>
                <a:pt x="0" y="19050"/>
              </a:lnTo>
              <a:lnTo>
                <a:pt x="0" y="0"/>
              </a:lnTo>
              <a:close/>
            </a:path>
          </a:pathLst>
        </a:custGeom>
        <a:solidFill>
          <a:srgbClr val="BABABA"/>
        </a:solidFill>
      </xdr:spPr>
    </xdr:sp>
    <xdr:clientData/>
  </xdr:oneCellAnchor>
  <xdr:twoCellAnchor>
    <xdr:from>
      <xdr:col>8</xdr:col>
      <xdr:colOff>807720</xdr:colOff>
      <xdr:row>8</xdr:row>
      <xdr:rowOff>49530</xdr:rowOff>
    </xdr:from>
    <xdr:to>
      <xdr:col>10</xdr:col>
      <xdr:colOff>1295400</xdr:colOff>
      <xdr:row>26</xdr:row>
      <xdr:rowOff>49530</xdr:rowOff>
    </xdr:to>
    <xdr:graphicFrame macro="">
      <xdr:nvGraphicFramePr>
        <xdr:cNvPr id="4" name="Chart 3">
          <a:extLst>
            <a:ext uri="{FF2B5EF4-FFF2-40B4-BE49-F238E27FC236}">
              <a16:creationId xmlns:a16="http://schemas.microsoft.com/office/drawing/2014/main" id="{C10CA959-E3B3-BD8F-C7C9-5EF7C3065799}"/>
            </a:ext>
            <a:ext uri="{147F2762-F138-4A5C-976F-8EAC2B608ADB}">
              <a16:predDERef xmlns:a16="http://schemas.microsoft.com/office/drawing/2014/main" pred="{00000000-0008-0000-18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1432560</xdr:colOff>
      <xdr:row>20</xdr:row>
      <xdr:rowOff>7626</xdr:rowOff>
    </xdr:from>
    <xdr:to>
      <xdr:col>11</xdr:col>
      <xdr:colOff>396240</xdr:colOff>
      <xdr:row>38</xdr:row>
      <xdr:rowOff>7626</xdr:rowOff>
    </xdr:to>
    <xdr:graphicFrame macro="">
      <xdr:nvGraphicFramePr>
        <xdr:cNvPr id="5" name="Chart 4">
          <a:extLst>
            <a:ext uri="{FF2B5EF4-FFF2-40B4-BE49-F238E27FC236}">
              <a16:creationId xmlns:a16="http://schemas.microsoft.com/office/drawing/2014/main" id="{2ADBFDEE-D130-4EEF-9471-930DF77B7F64}"/>
            </a:ext>
            <a:ext uri="{147F2762-F138-4A5C-976F-8EAC2B608ADB}">
              <a16:predDERef xmlns:a16="http://schemas.microsoft.com/office/drawing/2014/main" pred="{C10CA959-E3B3-BD8F-C7C9-5EF7C3065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2590800</xdr:colOff>
      <xdr:row>26</xdr:row>
      <xdr:rowOff>57150</xdr:rowOff>
    </xdr:from>
    <xdr:to>
      <xdr:col>12</xdr:col>
      <xdr:colOff>327660</xdr:colOff>
      <xdr:row>45</xdr:row>
      <xdr:rowOff>15240</xdr:rowOff>
    </xdr:to>
    <xdr:graphicFrame macro="">
      <xdr:nvGraphicFramePr>
        <xdr:cNvPr id="7" name="Chart 6">
          <a:extLst>
            <a:ext uri="{FF2B5EF4-FFF2-40B4-BE49-F238E27FC236}">
              <a16:creationId xmlns:a16="http://schemas.microsoft.com/office/drawing/2014/main" id="{403C9695-C60A-11A4-745F-F8640ED09826}"/>
            </a:ext>
            <a:ext uri="{147F2762-F138-4A5C-976F-8EAC2B608ADB}">
              <a16:predDERef xmlns:a16="http://schemas.microsoft.com/office/drawing/2014/main" pred="{2ADBFDEE-D130-4EEF-9471-930DF77B7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oneCellAnchor>
    <xdr:from>
      <xdr:col>0</xdr:col>
      <xdr:colOff>462026</xdr:colOff>
      <xdr:row>1</xdr:row>
      <xdr:rowOff>0</xdr:rowOff>
    </xdr:from>
    <xdr:ext cx="14163675" cy="19050"/>
    <xdr:sp macro="" textlink="">
      <xdr:nvSpPr>
        <xdr:cNvPr id="87" name="Shape 87">
          <a:extLst>
            <a:ext uri="{FF2B5EF4-FFF2-40B4-BE49-F238E27FC236}">
              <a16:creationId xmlns:a16="http://schemas.microsoft.com/office/drawing/2014/main" id="{00000000-0008-0000-1A00-000057000000}"/>
            </a:ext>
          </a:extLst>
        </xdr:cNvPr>
        <xdr:cNvSpPr/>
      </xdr:nvSpPr>
      <xdr:spPr>
        <a:xfrm>
          <a:off x="0" y="0"/>
          <a:ext cx="14163675" cy="19050"/>
        </a:xfrm>
        <a:custGeom>
          <a:avLst/>
          <a:gdLst/>
          <a:ahLst/>
          <a:cxnLst/>
          <a:rect l="0" t="0" r="0" b="0"/>
          <a:pathLst>
            <a:path w="14163675" h="19050">
              <a:moveTo>
                <a:pt x="0" y="0"/>
              </a:moveTo>
              <a:lnTo>
                <a:pt x="14163547" y="0"/>
              </a:lnTo>
              <a:lnTo>
                <a:pt x="14163547" y="19050"/>
              </a:lnTo>
              <a:lnTo>
                <a:pt x="0" y="19050"/>
              </a:lnTo>
              <a:lnTo>
                <a:pt x="0" y="0"/>
              </a:lnTo>
              <a:close/>
            </a:path>
          </a:pathLst>
        </a:custGeom>
        <a:solidFill>
          <a:srgbClr val="BABABA"/>
        </a:solidFill>
      </xdr:spPr>
    </xdr:sp>
    <xdr:clientData/>
  </xdr:oneCellAnchor>
  <xdr:twoCellAnchor>
    <xdr:from>
      <xdr:col>10</xdr:col>
      <xdr:colOff>571500</xdr:colOff>
      <xdr:row>25</xdr:row>
      <xdr:rowOff>76206</xdr:rowOff>
    </xdr:from>
    <xdr:to>
      <xdr:col>15</xdr:col>
      <xdr:colOff>861060</xdr:colOff>
      <xdr:row>43</xdr:row>
      <xdr:rowOff>15246</xdr:rowOff>
    </xdr:to>
    <xdr:graphicFrame macro="">
      <xdr:nvGraphicFramePr>
        <xdr:cNvPr id="2" name="Chart 1">
          <a:extLst>
            <a:ext uri="{FF2B5EF4-FFF2-40B4-BE49-F238E27FC236}">
              <a16:creationId xmlns:a16="http://schemas.microsoft.com/office/drawing/2014/main" id="{4C28BE99-C830-1A6C-C176-24BAED01F2EA}"/>
            </a:ext>
            <a:ext uri="{147F2762-F138-4A5C-976F-8EAC2B608ADB}">
              <a16:predDERef xmlns:a16="http://schemas.microsoft.com/office/drawing/2014/main" pred="{00000000-0008-0000-1A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oneCellAnchor>
    <xdr:from>
      <xdr:col>0</xdr:col>
      <xdr:colOff>462026</xdr:colOff>
      <xdr:row>15</xdr:row>
      <xdr:rowOff>0</xdr:rowOff>
    </xdr:from>
    <xdr:ext cx="14163675" cy="19050"/>
    <xdr:sp macro="" textlink="">
      <xdr:nvSpPr>
        <xdr:cNvPr id="88" name="Shape 88">
          <a:extLst>
            <a:ext uri="{FF2B5EF4-FFF2-40B4-BE49-F238E27FC236}">
              <a16:creationId xmlns:a16="http://schemas.microsoft.com/office/drawing/2014/main" id="{00000000-0008-0000-1B00-000058000000}"/>
            </a:ext>
          </a:extLst>
        </xdr:cNvPr>
        <xdr:cNvSpPr/>
      </xdr:nvSpPr>
      <xdr:spPr>
        <a:xfrm>
          <a:off x="0" y="0"/>
          <a:ext cx="14163675" cy="19050"/>
        </a:xfrm>
        <a:custGeom>
          <a:avLst/>
          <a:gdLst/>
          <a:ahLst/>
          <a:cxnLst/>
          <a:rect l="0" t="0" r="0" b="0"/>
          <a:pathLst>
            <a:path w="14163675" h="19050">
              <a:moveTo>
                <a:pt x="0" y="0"/>
              </a:moveTo>
              <a:lnTo>
                <a:pt x="14163547" y="0"/>
              </a:lnTo>
              <a:lnTo>
                <a:pt x="14163547" y="19050"/>
              </a:lnTo>
              <a:lnTo>
                <a:pt x="0" y="19050"/>
              </a:lnTo>
              <a:lnTo>
                <a:pt x="0" y="0"/>
              </a:lnTo>
              <a:close/>
            </a:path>
          </a:pathLst>
        </a:custGeom>
        <a:solidFill>
          <a:srgbClr val="BABABA"/>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2" name="Shape 62">
          <a:extLst>
            <a:ext uri="{FF2B5EF4-FFF2-40B4-BE49-F238E27FC236}">
              <a16:creationId xmlns:a16="http://schemas.microsoft.com/office/drawing/2014/main" id="{00000000-0008-0000-0100-00003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0.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89" name="Shape 89">
          <a:extLst>
            <a:ext uri="{FF2B5EF4-FFF2-40B4-BE49-F238E27FC236}">
              <a16:creationId xmlns:a16="http://schemas.microsoft.com/office/drawing/2014/main" id="{00000000-0008-0000-1C00-000059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1.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90" name="Shape 90">
          <a:extLst>
            <a:ext uri="{FF2B5EF4-FFF2-40B4-BE49-F238E27FC236}">
              <a16:creationId xmlns:a16="http://schemas.microsoft.com/office/drawing/2014/main" id="{00000000-0008-0000-1D00-00005A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2.xml><?xml version="1.0" encoding="utf-8"?>
<xdr:wsDr xmlns:xdr="http://schemas.openxmlformats.org/drawingml/2006/spreadsheetDrawing" xmlns:a="http://schemas.openxmlformats.org/drawingml/2006/main">
  <xdr:oneCellAnchor>
    <xdr:from>
      <xdr:col>0</xdr:col>
      <xdr:colOff>462026</xdr:colOff>
      <xdr:row>1</xdr:row>
      <xdr:rowOff>0</xdr:rowOff>
    </xdr:from>
    <xdr:ext cx="17364075" cy="19050"/>
    <xdr:sp macro="" textlink="">
      <xdr:nvSpPr>
        <xdr:cNvPr id="91" name="Shape 91">
          <a:extLst>
            <a:ext uri="{FF2B5EF4-FFF2-40B4-BE49-F238E27FC236}">
              <a16:creationId xmlns:a16="http://schemas.microsoft.com/office/drawing/2014/main" id="{00000000-0008-0000-1E00-00005B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3.xml><?xml version="1.0" encoding="utf-8"?>
<xdr:wsDr xmlns:xdr="http://schemas.openxmlformats.org/drawingml/2006/spreadsheetDrawing" xmlns:a="http://schemas.openxmlformats.org/drawingml/2006/main">
  <xdr:oneCellAnchor>
    <xdr:from>
      <xdr:col>0</xdr:col>
      <xdr:colOff>462026</xdr:colOff>
      <xdr:row>34</xdr:row>
      <xdr:rowOff>134620</xdr:rowOff>
    </xdr:from>
    <xdr:ext cx="17364075" cy="19050"/>
    <xdr:sp macro="" textlink="">
      <xdr:nvSpPr>
        <xdr:cNvPr id="92" name="Shape 92">
          <a:extLst>
            <a:ext uri="{FF2B5EF4-FFF2-40B4-BE49-F238E27FC236}">
              <a16:creationId xmlns:a16="http://schemas.microsoft.com/office/drawing/2014/main" id="{00000000-0008-0000-1F00-00005C000000}"/>
            </a:ext>
          </a:extLst>
        </xdr:cNvPr>
        <xdr:cNvSpPr/>
      </xdr:nvSpPr>
      <xdr:spPr>
        <a:xfrm>
          <a:off x="0" y="0"/>
          <a:ext cx="17364075" cy="19050"/>
        </a:xfrm>
        <a:custGeom>
          <a:avLst/>
          <a:gdLst/>
          <a:ahLst/>
          <a:cxnLst/>
          <a:rect l="0" t="0" r="0" b="0"/>
          <a:pathLst>
            <a:path w="17364075" h="19050">
              <a:moveTo>
                <a:pt x="0" y="0"/>
              </a:moveTo>
              <a:lnTo>
                <a:pt x="17363947" y="0"/>
              </a:lnTo>
              <a:lnTo>
                <a:pt x="17363947" y="19050"/>
              </a:lnTo>
              <a:lnTo>
                <a:pt x="0" y="19050"/>
              </a:lnTo>
              <a:lnTo>
                <a:pt x="0" y="0"/>
              </a:lnTo>
              <a:close/>
            </a:path>
          </a:pathLst>
        </a:custGeom>
        <a:solidFill>
          <a:srgbClr val="BABABA"/>
        </a:solidFill>
      </xdr:spPr>
    </xdr:sp>
    <xdr:clientData/>
  </xdr:oneCellAnchor>
</xdr:wsDr>
</file>

<file path=xl/drawings/drawing3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93" name="Shape 93">
          <a:extLst>
            <a:ext uri="{FF2B5EF4-FFF2-40B4-BE49-F238E27FC236}">
              <a16:creationId xmlns:a16="http://schemas.microsoft.com/office/drawing/2014/main" id="{00000000-0008-0000-2000-00005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94" name="Shape 94">
          <a:extLst>
            <a:ext uri="{FF2B5EF4-FFF2-40B4-BE49-F238E27FC236}">
              <a16:creationId xmlns:a16="http://schemas.microsoft.com/office/drawing/2014/main" id="{00000000-0008-0000-2100-00005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6.xml><?xml version="1.0" encoding="utf-8"?>
<xdr:wsDr xmlns:xdr="http://schemas.openxmlformats.org/drawingml/2006/spreadsheetDrawing" xmlns:a="http://schemas.openxmlformats.org/drawingml/2006/main">
  <xdr:oneCellAnchor>
    <xdr:from>
      <xdr:col>0</xdr:col>
      <xdr:colOff>462026</xdr:colOff>
      <xdr:row>9</xdr:row>
      <xdr:rowOff>0</xdr:rowOff>
    </xdr:from>
    <xdr:ext cx="6848475" cy="19050"/>
    <xdr:sp macro="" textlink="">
      <xdr:nvSpPr>
        <xdr:cNvPr id="95" name="Shape 95">
          <a:extLst>
            <a:ext uri="{FF2B5EF4-FFF2-40B4-BE49-F238E27FC236}">
              <a16:creationId xmlns:a16="http://schemas.microsoft.com/office/drawing/2014/main" id="{00000000-0008-0000-2200-00005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37.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6" name="Shape 96">
          <a:extLst>
            <a:ext uri="{FF2B5EF4-FFF2-40B4-BE49-F238E27FC236}">
              <a16:creationId xmlns:a16="http://schemas.microsoft.com/office/drawing/2014/main" id="{00000000-0008-0000-2300-000060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38.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7" name="Shape 97">
          <a:extLst>
            <a:ext uri="{FF2B5EF4-FFF2-40B4-BE49-F238E27FC236}">
              <a16:creationId xmlns:a16="http://schemas.microsoft.com/office/drawing/2014/main" id="{00000000-0008-0000-2400-000061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39.xml><?xml version="1.0" encoding="utf-8"?>
<xdr:wsDr xmlns:xdr="http://schemas.openxmlformats.org/drawingml/2006/spreadsheetDrawing" xmlns:a="http://schemas.openxmlformats.org/drawingml/2006/main">
  <xdr:oneCellAnchor>
    <xdr:from>
      <xdr:col>0</xdr:col>
      <xdr:colOff>462026</xdr:colOff>
      <xdr:row>1</xdr:row>
      <xdr:rowOff>0</xdr:rowOff>
    </xdr:from>
    <xdr:ext cx="21936075" cy="19050"/>
    <xdr:sp macro="" textlink="">
      <xdr:nvSpPr>
        <xdr:cNvPr id="98" name="Shape 98">
          <a:extLst>
            <a:ext uri="{FF2B5EF4-FFF2-40B4-BE49-F238E27FC236}">
              <a16:creationId xmlns:a16="http://schemas.microsoft.com/office/drawing/2014/main" id="{00000000-0008-0000-2500-000062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3" name="Shape 63">
          <a:extLst>
            <a:ext uri="{FF2B5EF4-FFF2-40B4-BE49-F238E27FC236}">
              <a16:creationId xmlns:a16="http://schemas.microsoft.com/office/drawing/2014/main" id="{00000000-0008-0000-0200-00003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0.xml><?xml version="1.0" encoding="utf-8"?>
<xdr:wsDr xmlns:xdr="http://schemas.openxmlformats.org/drawingml/2006/spreadsheetDrawing" xmlns:a="http://schemas.openxmlformats.org/drawingml/2006/main">
  <xdr:oneCellAnchor>
    <xdr:from>
      <xdr:col>0</xdr:col>
      <xdr:colOff>462026</xdr:colOff>
      <xdr:row>17</xdr:row>
      <xdr:rowOff>0</xdr:rowOff>
    </xdr:from>
    <xdr:ext cx="21936075" cy="19050"/>
    <xdr:sp macro="" textlink="">
      <xdr:nvSpPr>
        <xdr:cNvPr id="99" name="Shape 99">
          <a:extLst>
            <a:ext uri="{FF2B5EF4-FFF2-40B4-BE49-F238E27FC236}">
              <a16:creationId xmlns:a16="http://schemas.microsoft.com/office/drawing/2014/main" id="{00000000-0008-0000-2600-000063000000}"/>
            </a:ext>
          </a:extLst>
        </xdr:cNvPr>
        <xdr:cNvSpPr/>
      </xdr:nvSpPr>
      <xdr:spPr>
        <a:xfrm>
          <a:off x="0" y="0"/>
          <a:ext cx="21936075" cy="19050"/>
        </a:xfrm>
        <a:custGeom>
          <a:avLst/>
          <a:gdLst/>
          <a:ahLst/>
          <a:cxnLst/>
          <a:rect l="0" t="0" r="0" b="0"/>
          <a:pathLst>
            <a:path w="21936075" h="19050">
              <a:moveTo>
                <a:pt x="0" y="0"/>
              </a:moveTo>
              <a:lnTo>
                <a:pt x="21936075" y="0"/>
              </a:lnTo>
              <a:lnTo>
                <a:pt x="21936075" y="19050"/>
              </a:lnTo>
              <a:lnTo>
                <a:pt x="0" y="19050"/>
              </a:lnTo>
              <a:lnTo>
                <a:pt x="0" y="0"/>
              </a:lnTo>
              <a:close/>
            </a:path>
          </a:pathLst>
        </a:custGeom>
        <a:solidFill>
          <a:srgbClr val="BABABA"/>
        </a:solidFill>
      </xdr:spPr>
    </xdr:sp>
    <xdr:clientData/>
  </xdr:oneCellAnchor>
</xdr:wsDr>
</file>

<file path=xl/drawings/drawing4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1" name="Shape 101">
          <a:extLst>
            <a:ext uri="{FF2B5EF4-FFF2-40B4-BE49-F238E27FC236}">
              <a16:creationId xmlns:a16="http://schemas.microsoft.com/office/drawing/2014/main" id="{00000000-0008-0000-2800-000065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2" name="Shape 102">
          <a:extLst>
            <a:ext uri="{FF2B5EF4-FFF2-40B4-BE49-F238E27FC236}">
              <a16:creationId xmlns:a16="http://schemas.microsoft.com/office/drawing/2014/main" id="{00000000-0008-0000-2900-000066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3" name="Shape 103">
          <a:extLst>
            <a:ext uri="{FF2B5EF4-FFF2-40B4-BE49-F238E27FC236}">
              <a16:creationId xmlns:a16="http://schemas.microsoft.com/office/drawing/2014/main" id="{00000000-0008-0000-2A00-000067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4.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4" name="Shape 104">
          <a:extLst>
            <a:ext uri="{FF2B5EF4-FFF2-40B4-BE49-F238E27FC236}">
              <a16:creationId xmlns:a16="http://schemas.microsoft.com/office/drawing/2014/main" id="{00000000-0008-0000-2B00-000068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5" name="Shape 105">
          <a:extLst>
            <a:ext uri="{FF2B5EF4-FFF2-40B4-BE49-F238E27FC236}">
              <a16:creationId xmlns:a16="http://schemas.microsoft.com/office/drawing/2014/main" id="{00000000-0008-0000-2C00-000069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6.xml><?xml version="1.0" encoding="utf-8"?>
<xdr:wsDr xmlns:xdr="http://schemas.openxmlformats.org/drawingml/2006/spreadsheetDrawing" xmlns:a="http://schemas.openxmlformats.org/drawingml/2006/main">
  <xdr:oneCellAnchor>
    <xdr:from>
      <xdr:col>0</xdr:col>
      <xdr:colOff>462026</xdr:colOff>
      <xdr:row>28</xdr:row>
      <xdr:rowOff>0</xdr:rowOff>
    </xdr:from>
    <xdr:ext cx="6848475" cy="19050"/>
    <xdr:sp macro="" textlink="">
      <xdr:nvSpPr>
        <xdr:cNvPr id="106" name="Shape 106">
          <a:extLst>
            <a:ext uri="{FF2B5EF4-FFF2-40B4-BE49-F238E27FC236}">
              <a16:creationId xmlns:a16="http://schemas.microsoft.com/office/drawing/2014/main" id="{00000000-0008-0000-2D00-00006A000000}"/>
            </a:ext>
          </a:extLst>
        </xdr:cNvPr>
        <xdr:cNvSpPr/>
      </xdr:nvSpPr>
      <xdr:spPr>
        <a:xfrm>
          <a:off x="0" y="0"/>
          <a:ext cx="6848475" cy="19050"/>
        </a:xfrm>
        <a:custGeom>
          <a:avLst/>
          <a:gdLst/>
          <a:ahLst/>
          <a:cxnLst/>
          <a:rect l="0" t="0" r="0" b="0"/>
          <a:pathLst>
            <a:path w="6848475" h="19050">
              <a:moveTo>
                <a:pt x="0" y="0"/>
              </a:moveTo>
              <a:lnTo>
                <a:pt x="6848348" y="0"/>
              </a:lnTo>
              <a:lnTo>
                <a:pt x="6848348" y="19050"/>
              </a:lnTo>
              <a:lnTo>
                <a:pt x="0" y="19050"/>
              </a:lnTo>
              <a:lnTo>
                <a:pt x="0" y="0"/>
              </a:lnTo>
              <a:close/>
            </a:path>
          </a:pathLst>
        </a:custGeom>
        <a:solidFill>
          <a:srgbClr val="BABABA"/>
        </a:solidFill>
      </xdr:spPr>
    </xdr:sp>
    <xdr:clientData/>
  </xdr:oneCellAnchor>
</xdr:wsDr>
</file>

<file path=xl/drawings/drawing47.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7" name="Shape 107">
          <a:extLst>
            <a:ext uri="{FF2B5EF4-FFF2-40B4-BE49-F238E27FC236}">
              <a16:creationId xmlns:a16="http://schemas.microsoft.com/office/drawing/2014/main" id="{00000000-0008-0000-2E00-00006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8" name="Shape 108">
          <a:extLst>
            <a:ext uri="{FF2B5EF4-FFF2-40B4-BE49-F238E27FC236}">
              <a16:creationId xmlns:a16="http://schemas.microsoft.com/office/drawing/2014/main" id="{00000000-0008-0000-2F00-00006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4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09" name="Shape 109">
          <a:extLst>
            <a:ext uri="{FF2B5EF4-FFF2-40B4-BE49-F238E27FC236}">
              <a16:creationId xmlns:a16="http://schemas.microsoft.com/office/drawing/2014/main" id="{00000000-0008-0000-3000-00006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4" name="Shape 64">
          <a:extLst>
            <a:ext uri="{FF2B5EF4-FFF2-40B4-BE49-F238E27FC236}">
              <a16:creationId xmlns:a16="http://schemas.microsoft.com/office/drawing/2014/main" id="{00000000-0008-0000-0300-000040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0" name="Shape 110">
          <a:extLst>
            <a:ext uri="{FF2B5EF4-FFF2-40B4-BE49-F238E27FC236}">
              <a16:creationId xmlns:a16="http://schemas.microsoft.com/office/drawing/2014/main" id="{00000000-0008-0000-3100-00006E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1.xml><?xml version="1.0" encoding="utf-8"?>
<xdr:wsDr xmlns:xdr="http://schemas.openxmlformats.org/drawingml/2006/spreadsheetDrawing" xmlns:a="http://schemas.openxmlformats.org/drawingml/2006/main">
  <xdr:oneCellAnchor>
    <xdr:from>
      <xdr:col>0</xdr:col>
      <xdr:colOff>462026</xdr:colOff>
      <xdr:row>17</xdr:row>
      <xdr:rowOff>0</xdr:rowOff>
    </xdr:from>
    <xdr:ext cx="6848475" cy="19050"/>
    <xdr:sp macro="" textlink="">
      <xdr:nvSpPr>
        <xdr:cNvPr id="111" name="Shape 111">
          <a:extLst>
            <a:ext uri="{FF2B5EF4-FFF2-40B4-BE49-F238E27FC236}">
              <a16:creationId xmlns:a16="http://schemas.microsoft.com/office/drawing/2014/main" id="{00000000-0008-0000-3200-00006F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2" name="Shape 112">
          <a:extLst>
            <a:ext uri="{FF2B5EF4-FFF2-40B4-BE49-F238E27FC236}">
              <a16:creationId xmlns:a16="http://schemas.microsoft.com/office/drawing/2014/main" id="{00000000-0008-0000-3300-000070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3" name="Shape 113">
          <a:extLst>
            <a:ext uri="{FF2B5EF4-FFF2-40B4-BE49-F238E27FC236}">
              <a16:creationId xmlns:a16="http://schemas.microsoft.com/office/drawing/2014/main" id="{00000000-0008-0000-3400-000071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4.xml><?xml version="1.0" encoding="utf-8"?>
<xdr:wsDr xmlns:xdr="http://schemas.openxmlformats.org/drawingml/2006/spreadsheetDrawing" xmlns:a="http://schemas.openxmlformats.org/drawingml/2006/main">
  <xdr:oneCellAnchor>
    <xdr:from>
      <xdr:col>0</xdr:col>
      <xdr:colOff>462026</xdr:colOff>
      <xdr:row>46</xdr:row>
      <xdr:rowOff>134620</xdr:rowOff>
    </xdr:from>
    <xdr:ext cx="6848475" cy="19050"/>
    <xdr:sp macro="" textlink="">
      <xdr:nvSpPr>
        <xdr:cNvPr id="114" name="Shape 114">
          <a:extLst>
            <a:ext uri="{FF2B5EF4-FFF2-40B4-BE49-F238E27FC236}">
              <a16:creationId xmlns:a16="http://schemas.microsoft.com/office/drawing/2014/main" id="{00000000-0008-0000-3500-000072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5.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5" name="Shape 115">
          <a:extLst>
            <a:ext uri="{FF2B5EF4-FFF2-40B4-BE49-F238E27FC236}">
              <a16:creationId xmlns:a16="http://schemas.microsoft.com/office/drawing/2014/main" id="{00000000-0008-0000-3600-000073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6.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16" name="Shape 116">
          <a:extLst>
            <a:ext uri="{FF2B5EF4-FFF2-40B4-BE49-F238E27FC236}">
              <a16:creationId xmlns:a16="http://schemas.microsoft.com/office/drawing/2014/main" id="{00000000-0008-0000-3700-000074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7.xml><?xml version="1.0" encoding="utf-8"?>
<xdr:wsDr xmlns:xdr="http://schemas.openxmlformats.org/drawingml/2006/spreadsheetDrawing" xmlns:a="http://schemas.openxmlformats.org/drawingml/2006/main">
  <xdr:oneCellAnchor>
    <xdr:from>
      <xdr:col>0</xdr:col>
      <xdr:colOff>462026</xdr:colOff>
      <xdr:row>44</xdr:row>
      <xdr:rowOff>0</xdr:rowOff>
    </xdr:from>
    <xdr:ext cx="6848475" cy="19050"/>
    <xdr:sp macro="" textlink="">
      <xdr:nvSpPr>
        <xdr:cNvPr id="117" name="Shape 117">
          <a:extLst>
            <a:ext uri="{FF2B5EF4-FFF2-40B4-BE49-F238E27FC236}">
              <a16:creationId xmlns:a16="http://schemas.microsoft.com/office/drawing/2014/main" id="{00000000-0008-0000-3800-000075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58.xml><?xml version="1.0" encoding="utf-8"?>
<xdr:wsDr xmlns:xdr="http://schemas.openxmlformats.org/drawingml/2006/spreadsheetDrawing" xmlns:a="http://schemas.openxmlformats.org/drawingml/2006/main">
  <xdr:oneCellAnchor>
    <xdr:from>
      <xdr:col>0</xdr:col>
      <xdr:colOff>462026</xdr:colOff>
      <xdr:row>1</xdr:row>
      <xdr:rowOff>0</xdr:rowOff>
    </xdr:from>
    <xdr:ext cx="11420475" cy="19050"/>
    <xdr:sp macro="" textlink="">
      <xdr:nvSpPr>
        <xdr:cNvPr id="118" name="Shape 118">
          <a:extLst>
            <a:ext uri="{FF2B5EF4-FFF2-40B4-BE49-F238E27FC236}">
              <a16:creationId xmlns:a16="http://schemas.microsoft.com/office/drawing/2014/main" id="{00000000-0008-0000-3900-000076000000}"/>
            </a:ext>
          </a:extLst>
        </xdr:cNvPr>
        <xdr:cNvSpPr/>
      </xdr:nvSpPr>
      <xdr:spPr>
        <a:xfrm>
          <a:off x="0" y="0"/>
          <a:ext cx="11420475" cy="19050"/>
        </a:xfrm>
        <a:custGeom>
          <a:avLst/>
          <a:gdLst/>
          <a:ahLst/>
          <a:cxnLst/>
          <a:rect l="0" t="0" r="0" b="0"/>
          <a:pathLst>
            <a:path w="11420475" h="19050">
              <a:moveTo>
                <a:pt x="0" y="0"/>
              </a:moveTo>
              <a:lnTo>
                <a:pt x="11420348" y="0"/>
              </a:lnTo>
              <a:lnTo>
                <a:pt x="11420348" y="19050"/>
              </a:lnTo>
              <a:lnTo>
                <a:pt x="0" y="19050"/>
              </a:lnTo>
              <a:lnTo>
                <a:pt x="0" y="0"/>
              </a:lnTo>
              <a:close/>
            </a:path>
          </a:pathLst>
        </a:custGeom>
        <a:solidFill>
          <a:srgbClr val="BABABA"/>
        </a:solidFill>
      </xdr:spPr>
    </xdr:sp>
    <xdr:clientData/>
  </xdr:oneCellAnchor>
</xdr:wsDr>
</file>

<file path=xl/drawings/drawing59.xml><?xml version="1.0" encoding="utf-8"?>
<xdr:wsDr xmlns:xdr="http://schemas.openxmlformats.org/drawingml/2006/spreadsheetDrawing" xmlns:a="http://schemas.openxmlformats.org/drawingml/2006/main">
  <xdr:oneCellAnchor>
    <xdr:from>
      <xdr:col>0</xdr:col>
      <xdr:colOff>462026</xdr:colOff>
      <xdr:row>15</xdr:row>
      <xdr:rowOff>0</xdr:rowOff>
    </xdr:from>
    <xdr:ext cx="11420475" cy="19050"/>
    <xdr:sp macro="" textlink="">
      <xdr:nvSpPr>
        <xdr:cNvPr id="119" name="Shape 119">
          <a:extLst>
            <a:ext uri="{FF2B5EF4-FFF2-40B4-BE49-F238E27FC236}">
              <a16:creationId xmlns:a16="http://schemas.microsoft.com/office/drawing/2014/main" id="{00000000-0008-0000-3A00-000077000000}"/>
            </a:ext>
          </a:extLst>
        </xdr:cNvPr>
        <xdr:cNvSpPr/>
      </xdr:nvSpPr>
      <xdr:spPr>
        <a:xfrm>
          <a:off x="0" y="0"/>
          <a:ext cx="11420475" cy="19050"/>
        </a:xfrm>
        <a:custGeom>
          <a:avLst/>
          <a:gdLst/>
          <a:ahLst/>
          <a:cxnLst/>
          <a:rect l="0" t="0" r="0" b="0"/>
          <a:pathLst>
            <a:path w="11420475" h="19050">
              <a:moveTo>
                <a:pt x="0" y="0"/>
              </a:moveTo>
              <a:lnTo>
                <a:pt x="11420348" y="0"/>
              </a:lnTo>
              <a:lnTo>
                <a:pt x="11420348" y="19050"/>
              </a:lnTo>
              <a:lnTo>
                <a:pt x="0" y="19050"/>
              </a:lnTo>
              <a:lnTo>
                <a:pt x="0" y="0"/>
              </a:lnTo>
              <a:close/>
            </a:path>
          </a:pathLst>
        </a:custGeom>
        <a:solidFill>
          <a:srgbClr val="BABABA"/>
        </a:solidFill>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5" name="Shape 65">
          <a:extLst>
            <a:ext uri="{FF2B5EF4-FFF2-40B4-BE49-F238E27FC236}">
              <a16:creationId xmlns:a16="http://schemas.microsoft.com/office/drawing/2014/main" id="{00000000-0008-0000-0400-000041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0" name="Shape 120">
          <a:extLst>
            <a:ext uri="{FF2B5EF4-FFF2-40B4-BE49-F238E27FC236}">
              <a16:creationId xmlns:a16="http://schemas.microsoft.com/office/drawing/2014/main" id="{00000000-0008-0000-3B00-000078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1" name="Shape 121">
          <a:extLst>
            <a:ext uri="{FF2B5EF4-FFF2-40B4-BE49-F238E27FC236}">
              <a16:creationId xmlns:a16="http://schemas.microsoft.com/office/drawing/2014/main" id="{00000000-0008-0000-3C00-000079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2.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2" name="Shape 122">
          <a:extLst>
            <a:ext uri="{FF2B5EF4-FFF2-40B4-BE49-F238E27FC236}">
              <a16:creationId xmlns:a16="http://schemas.microsoft.com/office/drawing/2014/main" id="{00000000-0008-0000-3D00-00007A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3.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23" name="Shape 123">
          <a:extLst>
            <a:ext uri="{FF2B5EF4-FFF2-40B4-BE49-F238E27FC236}">
              <a16:creationId xmlns:a16="http://schemas.microsoft.com/office/drawing/2014/main" id="{00000000-0008-0000-3E00-00007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64.xml><?xml version="1.0" encoding="utf-8"?>
<xdr:wsDr xmlns:xdr="http://schemas.openxmlformats.org/drawingml/2006/spreadsheetDrawing" xmlns:a="http://schemas.openxmlformats.org/drawingml/2006/main">
  <xdr:oneCellAnchor>
    <xdr:from>
      <xdr:col>0</xdr:col>
      <xdr:colOff>462026</xdr:colOff>
      <xdr:row>1</xdr:row>
      <xdr:rowOff>0</xdr:rowOff>
    </xdr:from>
    <xdr:ext cx="15535275" cy="19050"/>
    <xdr:sp macro="" textlink="">
      <xdr:nvSpPr>
        <xdr:cNvPr id="124" name="Shape 124">
          <a:extLst>
            <a:ext uri="{FF2B5EF4-FFF2-40B4-BE49-F238E27FC236}">
              <a16:creationId xmlns:a16="http://schemas.microsoft.com/office/drawing/2014/main" id="{00000000-0008-0000-3F00-00007C000000}"/>
            </a:ext>
          </a:extLst>
        </xdr:cNvPr>
        <xdr:cNvSpPr/>
      </xdr:nvSpPr>
      <xdr:spPr>
        <a:xfrm>
          <a:off x="0" y="0"/>
          <a:ext cx="15535275" cy="19050"/>
        </a:xfrm>
        <a:custGeom>
          <a:avLst/>
          <a:gdLst/>
          <a:ahLst/>
          <a:cxnLst/>
          <a:rect l="0" t="0" r="0" b="0"/>
          <a:pathLst>
            <a:path w="15535275" h="19050">
              <a:moveTo>
                <a:pt x="0" y="0"/>
              </a:moveTo>
              <a:lnTo>
                <a:pt x="15535275" y="0"/>
              </a:lnTo>
              <a:lnTo>
                <a:pt x="15535275" y="19050"/>
              </a:lnTo>
              <a:lnTo>
                <a:pt x="0" y="19050"/>
              </a:lnTo>
              <a:lnTo>
                <a:pt x="0" y="0"/>
              </a:lnTo>
              <a:close/>
            </a:path>
          </a:pathLst>
        </a:custGeom>
        <a:solidFill>
          <a:srgbClr val="BABABA"/>
        </a:solidFill>
      </xdr:spPr>
    </xdr:sp>
    <xdr:clientData/>
  </xdr:oneCellAnchor>
</xdr:wsDr>
</file>

<file path=xl/drawings/drawing65.xml><?xml version="1.0" encoding="utf-8"?>
<xdr:wsDr xmlns:xdr="http://schemas.openxmlformats.org/drawingml/2006/spreadsheetDrawing" xmlns:a="http://schemas.openxmlformats.org/drawingml/2006/main">
  <xdr:oneCellAnchor>
    <xdr:from>
      <xdr:col>0</xdr:col>
      <xdr:colOff>462026</xdr:colOff>
      <xdr:row>17</xdr:row>
      <xdr:rowOff>0</xdr:rowOff>
    </xdr:from>
    <xdr:ext cx="15535275" cy="19050"/>
    <xdr:sp macro="" textlink="">
      <xdr:nvSpPr>
        <xdr:cNvPr id="125" name="Shape 125">
          <a:extLst>
            <a:ext uri="{FF2B5EF4-FFF2-40B4-BE49-F238E27FC236}">
              <a16:creationId xmlns:a16="http://schemas.microsoft.com/office/drawing/2014/main" id="{00000000-0008-0000-4000-00007D000000}"/>
            </a:ext>
          </a:extLst>
        </xdr:cNvPr>
        <xdr:cNvSpPr/>
      </xdr:nvSpPr>
      <xdr:spPr>
        <a:xfrm>
          <a:off x="0" y="0"/>
          <a:ext cx="15535275" cy="19050"/>
        </a:xfrm>
        <a:custGeom>
          <a:avLst/>
          <a:gdLst/>
          <a:ahLst/>
          <a:cxnLst/>
          <a:rect l="0" t="0" r="0" b="0"/>
          <a:pathLst>
            <a:path w="15535275" h="19050">
              <a:moveTo>
                <a:pt x="0" y="0"/>
              </a:moveTo>
              <a:lnTo>
                <a:pt x="15535275" y="0"/>
              </a:lnTo>
              <a:lnTo>
                <a:pt x="15535275" y="19050"/>
              </a:lnTo>
              <a:lnTo>
                <a:pt x="0" y="19050"/>
              </a:lnTo>
              <a:lnTo>
                <a:pt x="0" y="0"/>
              </a:lnTo>
              <a:close/>
            </a:path>
          </a:pathLst>
        </a:custGeom>
        <a:solidFill>
          <a:srgbClr val="BABABA"/>
        </a:solidFill>
      </xdr:spPr>
    </xdr:sp>
    <xdr:clientData/>
  </xdr:oneCellAnchor>
</xdr:wsDr>
</file>

<file path=xl/drawings/drawing66.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6" name="Shape 126">
          <a:extLst>
            <a:ext uri="{FF2B5EF4-FFF2-40B4-BE49-F238E27FC236}">
              <a16:creationId xmlns:a16="http://schemas.microsoft.com/office/drawing/2014/main" id="{00000000-0008-0000-4100-00007E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7.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7" name="Shape 127">
          <a:extLst>
            <a:ext uri="{FF2B5EF4-FFF2-40B4-BE49-F238E27FC236}">
              <a16:creationId xmlns:a16="http://schemas.microsoft.com/office/drawing/2014/main" id="{00000000-0008-0000-4200-00007F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8.xml><?xml version="1.0" encoding="utf-8"?>
<xdr:wsDr xmlns:xdr="http://schemas.openxmlformats.org/drawingml/2006/spreadsheetDrawing" xmlns:a="http://schemas.openxmlformats.org/drawingml/2006/main">
  <xdr:oneCellAnchor>
    <xdr:from>
      <xdr:col>0</xdr:col>
      <xdr:colOff>462026</xdr:colOff>
      <xdr:row>1</xdr:row>
      <xdr:rowOff>0</xdr:rowOff>
    </xdr:from>
    <xdr:ext cx="22850475" cy="19050"/>
    <xdr:sp macro="" textlink="">
      <xdr:nvSpPr>
        <xdr:cNvPr id="128" name="Shape 128">
          <a:extLst>
            <a:ext uri="{FF2B5EF4-FFF2-40B4-BE49-F238E27FC236}">
              <a16:creationId xmlns:a16="http://schemas.microsoft.com/office/drawing/2014/main" id="{00000000-0008-0000-4300-000080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69.xml><?xml version="1.0" encoding="utf-8"?>
<xdr:wsDr xmlns:xdr="http://schemas.openxmlformats.org/drawingml/2006/spreadsheetDrawing" xmlns:a="http://schemas.openxmlformats.org/drawingml/2006/main">
  <xdr:oneCellAnchor>
    <xdr:from>
      <xdr:col>0</xdr:col>
      <xdr:colOff>462026</xdr:colOff>
      <xdr:row>22</xdr:row>
      <xdr:rowOff>0</xdr:rowOff>
    </xdr:from>
    <xdr:ext cx="22850475" cy="19050"/>
    <xdr:sp macro="" textlink="">
      <xdr:nvSpPr>
        <xdr:cNvPr id="129" name="Shape 129">
          <a:extLst>
            <a:ext uri="{FF2B5EF4-FFF2-40B4-BE49-F238E27FC236}">
              <a16:creationId xmlns:a16="http://schemas.microsoft.com/office/drawing/2014/main" id="{00000000-0008-0000-4400-000081000000}"/>
            </a:ext>
          </a:extLst>
        </xdr:cNvPr>
        <xdr:cNvSpPr/>
      </xdr:nvSpPr>
      <xdr:spPr>
        <a:xfrm>
          <a:off x="0" y="0"/>
          <a:ext cx="22850475" cy="19050"/>
        </a:xfrm>
        <a:custGeom>
          <a:avLst/>
          <a:gdLst/>
          <a:ahLst/>
          <a:cxnLst/>
          <a:rect l="0" t="0" r="0" b="0"/>
          <a:pathLst>
            <a:path w="22850475" h="19050">
              <a:moveTo>
                <a:pt x="0" y="0"/>
              </a:moveTo>
              <a:lnTo>
                <a:pt x="22850475" y="0"/>
              </a:lnTo>
              <a:lnTo>
                <a:pt x="22850475" y="19050"/>
              </a:lnTo>
              <a:lnTo>
                <a:pt x="0" y="19050"/>
              </a:lnTo>
              <a:lnTo>
                <a:pt x="0" y="0"/>
              </a:lnTo>
              <a:close/>
            </a:path>
          </a:pathLst>
        </a:custGeom>
        <a:solidFill>
          <a:srgbClr val="BABABA"/>
        </a:solidFill>
      </xdr:spPr>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462026</xdr:colOff>
      <xdr:row>11</xdr:row>
      <xdr:rowOff>0</xdr:rowOff>
    </xdr:from>
    <xdr:ext cx="6848475" cy="19050"/>
    <xdr:sp macro="" textlink="">
      <xdr:nvSpPr>
        <xdr:cNvPr id="66" name="Shape 66">
          <a:extLst>
            <a:ext uri="{FF2B5EF4-FFF2-40B4-BE49-F238E27FC236}">
              <a16:creationId xmlns:a16="http://schemas.microsoft.com/office/drawing/2014/main" id="{00000000-0008-0000-0500-000042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70.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0" name="Shape 130">
          <a:extLst>
            <a:ext uri="{FF2B5EF4-FFF2-40B4-BE49-F238E27FC236}">
              <a16:creationId xmlns:a16="http://schemas.microsoft.com/office/drawing/2014/main" id="{00000000-0008-0000-4500-000082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1.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1" name="Shape 131">
          <a:extLst>
            <a:ext uri="{FF2B5EF4-FFF2-40B4-BE49-F238E27FC236}">
              <a16:creationId xmlns:a16="http://schemas.microsoft.com/office/drawing/2014/main" id="{00000000-0008-0000-4600-000083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2.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2" name="Shape 132">
          <a:extLst>
            <a:ext uri="{FF2B5EF4-FFF2-40B4-BE49-F238E27FC236}">
              <a16:creationId xmlns:a16="http://schemas.microsoft.com/office/drawing/2014/main" id="{00000000-0008-0000-4700-000084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3.xml><?xml version="1.0" encoding="utf-8"?>
<xdr:wsDr xmlns:xdr="http://schemas.openxmlformats.org/drawingml/2006/spreadsheetDrawing" xmlns:a="http://schemas.openxmlformats.org/drawingml/2006/main">
  <xdr:oneCellAnchor>
    <xdr:from>
      <xdr:col>0</xdr:col>
      <xdr:colOff>462026</xdr:colOff>
      <xdr:row>1</xdr:row>
      <xdr:rowOff>0</xdr:rowOff>
    </xdr:from>
    <xdr:ext cx="18735675" cy="19050"/>
    <xdr:sp macro="" textlink="">
      <xdr:nvSpPr>
        <xdr:cNvPr id="133" name="Shape 133">
          <a:extLst>
            <a:ext uri="{FF2B5EF4-FFF2-40B4-BE49-F238E27FC236}">
              <a16:creationId xmlns:a16="http://schemas.microsoft.com/office/drawing/2014/main" id="{00000000-0008-0000-4800-000085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4.xml><?xml version="1.0" encoding="utf-8"?>
<xdr:wsDr xmlns:xdr="http://schemas.openxmlformats.org/drawingml/2006/spreadsheetDrawing" xmlns:a="http://schemas.openxmlformats.org/drawingml/2006/main">
  <xdr:oneCellAnchor>
    <xdr:from>
      <xdr:col>0</xdr:col>
      <xdr:colOff>462026</xdr:colOff>
      <xdr:row>9</xdr:row>
      <xdr:rowOff>0</xdr:rowOff>
    </xdr:from>
    <xdr:ext cx="18735675" cy="19050"/>
    <xdr:sp macro="" textlink="">
      <xdr:nvSpPr>
        <xdr:cNvPr id="134" name="Shape 134">
          <a:extLst>
            <a:ext uri="{FF2B5EF4-FFF2-40B4-BE49-F238E27FC236}">
              <a16:creationId xmlns:a16="http://schemas.microsoft.com/office/drawing/2014/main" id="{00000000-0008-0000-4900-000086000000}"/>
            </a:ext>
          </a:extLst>
        </xdr:cNvPr>
        <xdr:cNvSpPr/>
      </xdr:nvSpPr>
      <xdr:spPr>
        <a:xfrm>
          <a:off x="0" y="0"/>
          <a:ext cx="18735675" cy="19050"/>
        </a:xfrm>
        <a:custGeom>
          <a:avLst/>
          <a:gdLst/>
          <a:ahLst/>
          <a:cxnLst/>
          <a:rect l="0" t="0" r="0" b="0"/>
          <a:pathLst>
            <a:path w="18735675" h="19050">
              <a:moveTo>
                <a:pt x="0" y="0"/>
              </a:moveTo>
              <a:lnTo>
                <a:pt x="18735547" y="0"/>
              </a:lnTo>
              <a:lnTo>
                <a:pt x="18735547" y="19050"/>
              </a:lnTo>
              <a:lnTo>
                <a:pt x="0" y="19050"/>
              </a:lnTo>
              <a:lnTo>
                <a:pt x="0" y="0"/>
              </a:lnTo>
              <a:close/>
            </a:path>
          </a:pathLst>
        </a:custGeom>
        <a:solidFill>
          <a:srgbClr val="BABABA"/>
        </a:solidFill>
      </xdr:spPr>
    </xdr:sp>
    <xdr:clientData/>
  </xdr:oneCellAnchor>
</xdr:wsDr>
</file>

<file path=xl/drawings/drawing75.xml><?xml version="1.0" encoding="utf-8"?>
<xdr:wsDr xmlns:xdr="http://schemas.openxmlformats.org/drawingml/2006/spreadsheetDrawing" xmlns:a="http://schemas.openxmlformats.org/drawingml/2006/main">
  <xdr:oneCellAnchor>
    <xdr:from>
      <xdr:col>0</xdr:col>
      <xdr:colOff>462026</xdr:colOff>
      <xdr:row>1</xdr:row>
      <xdr:rowOff>0</xdr:rowOff>
    </xdr:from>
    <xdr:ext cx="25136475" cy="19050"/>
    <xdr:sp macro="" textlink="">
      <xdr:nvSpPr>
        <xdr:cNvPr id="100" name="Shape 100">
          <a:extLst>
            <a:ext uri="{FF2B5EF4-FFF2-40B4-BE49-F238E27FC236}">
              <a16:creationId xmlns:a16="http://schemas.microsoft.com/office/drawing/2014/main" id="{00000000-0008-0000-2700-000064000000}"/>
            </a:ext>
          </a:extLst>
        </xdr:cNvPr>
        <xdr:cNvSpPr/>
      </xdr:nvSpPr>
      <xdr:spPr>
        <a:xfrm>
          <a:off x="0" y="0"/>
          <a:ext cx="25136475" cy="19050"/>
        </a:xfrm>
        <a:custGeom>
          <a:avLst/>
          <a:gdLst/>
          <a:ahLst/>
          <a:cxnLst/>
          <a:rect l="0" t="0" r="0" b="0"/>
          <a:pathLst>
            <a:path w="25136475" h="19050">
              <a:moveTo>
                <a:pt x="0" y="0"/>
              </a:moveTo>
              <a:lnTo>
                <a:pt x="25136347" y="0"/>
              </a:lnTo>
              <a:lnTo>
                <a:pt x="25136347" y="19050"/>
              </a:lnTo>
              <a:lnTo>
                <a:pt x="0" y="19050"/>
              </a:lnTo>
              <a:lnTo>
                <a:pt x="0" y="0"/>
              </a:lnTo>
              <a:close/>
            </a:path>
          </a:pathLst>
        </a:custGeom>
        <a:solidFill>
          <a:srgbClr val="BABABA"/>
        </a:solidFill>
      </xdr:spPr>
    </xdr:sp>
    <xdr:clientData/>
  </xdr:oneCellAnchor>
</xdr:wsDr>
</file>

<file path=xl/drawings/drawing76.xml><?xml version="1.0" encoding="utf-8"?>
<xdr:wsDr xmlns:xdr="http://schemas.openxmlformats.org/drawingml/2006/spreadsheetDrawing" xmlns:a="http://schemas.openxmlformats.org/drawingml/2006/main">
  <xdr:twoCellAnchor>
    <xdr:from>
      <xdr:col>0</xdr:col>
      <xdr:colOff>0</xdr:colOff>
      <xdr:row>50</xdr:row>
      <xdr:rowOff>0</xdr:rowOff>
    </xdr:from>
    <xdr:to>
      <xdr:col>16</xdr:col>
      <xdr:colOff>0</xdr:colOff>
      <xdr:row>51</xdr:row>
      <xdr:rowOff>0</xdr:rowOff>
    </xdr:to>
    <xdr:sp macro="" textlink="">
      <xdr:nvSpPr>
        <xdr:cNvPr id="2" name="Shape 1">
          <a:extLst>
            <a:ext uri="{FF2B5EF4-FFF2-40B4-BE49-F238E27FC236}">
              <a16:creationId xmlns:a16="http://schemas.microsoft.com/office/drawing/2014/main" id="{D9B4305D-B828-474E-9621-FC26B8B6F874}"/>
            </a:ext>
          </a:extLst>
        </xdr:cNvPr>
        <xdr:cNvSpPr/>
      </xdr:nvSpPr>
      <xdr:spPr>
        <a:xfrm>
          <a:off x="0" y="9395460"/>
          <a:ext cx="9540240" cy="182880"/>
        </a:xfrm>
        <a:prstGeom prst="rect">
          <a:avLst/>
        </a:prstGeom>
      </xdr:spPr>
      <xdr:txBody>
        <a:bodyPr lIns="36576" rIns="36576" rtlCol="0" anchor="t"/>
        <a:lstStyle/>
        <a:p>
          <a:pPr algn="l">
            <a:lnSpc>
              <a:spcPts val="1000"/>
            </a:lnSpc>
            <a:spcAft>
              <a:spcPts val="1100"/>
            </a:spcAft>
            <a:defRPr/>
          </a:pPr>
          <a:r>
            <a:rPr lang="en-US" sz="800">
              <a:latin typeface="Arial"/>
            </a:rPr>
            <a:t>* = suppressed when population estimate &lt; 500. D = suppressed to avoid disclosure of confidential information. S = suppressed for reliability; coefficient of variation exceeds publication standards.</a:t>
          </a:r>
          <a:br>
            <a:rPr lang="en-US" sz="800">
              <a:latin typeface="Arial"/>
            </a:rPr>
          </a:br>
          <a:br>
            <a:rPr lang="en-US" sz="800">
              <a:latin typeface="Arial"/>
            </a:rPr>
          </a:br>
          <a:r>
            <a:rPr lang="en-US" sz="800">
              <a:latin typeface="Arial"/>
            </a:rPr>
            <a:t>S&amp;E = science and engineering.</a:t>
          </a:r>
          <a:endParaRPr lang="en-US" sz="1100">
            <a:solidFill>
              <a:srgbClr val="000000"/>
            </a:solidFill>
          </a:endParaRPr>
        </a:p>
        <a:p>
          <a:pPr>
            <a:lnSpc>
              <a:spcPts val="1000"/>
            </a:lnSpc>
          </a:pPr>
          <a:r>
            <a:rPr lang="en-US" sz="800">
              <a:latin typeface="Arial"/>
            </a:rPr>
            <a:t>Note(s):</a:t>
          </a:r>
        </a:p>
        <a:p>
          <a:pPr>
            <a:lnSpc>
              <a:spcPts val="1000"/>
            </a:lnSpc>
            <a:spcAft>
              <a:spcPts val="1100"/>
            </a:spcAft>
          </a:pPr>
          <a:r>
            <a:rPr lang="en-US" sz="800">
              <a:latin typeface="Arial"/>
            </a:rPr>
            <a:t>Median annual salaries are rounded to the nearest $1,000. Full-time employed college graduates are individuals working at least 35 hours in a typical week.</a:t>
          </a:r>
        </a:p>
        <a:p>
          <a:pPr>
            <a:lnSpc>
              <a:spcPts val="1000"/>
            </a:lnSpc>
          </a:pPr>
          <a:r>
            <a:rPr lang="en-US" sz="800">
              <a:latin typeface="Arial"/>
            </a:rPr>
            <a:t>Source(s):</a:t>
          </a:r>
        </a:p>
        <a:p>
          <a:pPr>
            <a:lnSpc>
              <a:spcPts val="1000"/>
            </a:lnSpc>
            <a:spcAft>
              <a:spcPts val="1100"/>
            </a:spcAft>
          </a:pPr>
          <a:r>
            <a:rPr lang="en-US" sz="800">
              <a:latin typeface="Arial"/>
            </a:rPr>
            <a:t>National Center for Science and Engineering Statistics, National Survey of College Graduates, 2021.</a:t>
          </a:r>
        </a:p>
      </xdr:txBody>
    </xdr:sp>
    <xdr:clientData/>
  </xdr:twoCellAnchor>
</xdr:wsDr>
</file>

<file path=xl/drawings/drawing77.xml><?xml version="1.0" encoding="utf-8"?>
<xdr:wsDr xmlns:xdr="http://schemas.openxmlformats.org/drawingml/2006/spreadsheetDrawing" xmlns:a="http://schemas.openxmlformats.org/drawingml/2006/main">
  <xdr:oneCellAnchor>
    <xdr:from>
      <xdr:col>0</xdr:col>
      <xdr:colOff>462026</xdr:colOff>
      <xdr:row>1</xdr:row>
      <xdr:rowOff>0</xdr:rowOff>
    </xdr:from>
    <xdr:ext cx="27422475" cy="19050"/>
    <xdr:sp macro="" textlink="">
      <xdr:nvSpPr>
        <xdr:cNvPr id="136" name="Shape 136">
          <a:extLst>
            <a:ext uri="{FF2B5EF4-FFF2-40B4-BE49-F238E27FC236}">
              <a16:creationId xmlns:a16="http://schemas.microsoft.com/office/drawing/2014/main" id="{00000000-0008-0000-4B00-000088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wsDr>
</file>

<file path=xl/drawings/drawing78.xml><?xml version="1.0" encoding="utf-8"?>
<xdr:wsDr xmlns:xdr="http://schemas.openxmlformats.org/drawingml/2006/spreadsheetDrawing" xmlns:a="http://schemas.openxmlformats.org/drawingml/2006/main">
  <xdr:oneCellAnchor>
    <xdr:from>
      <xdr:col>0</xdr:col>
      <xdr:colOff>462026</xdr:colOff>
      <xdr:row>11</xdr:row>
      <xdr:rowOff>0</xdr:rowOff>
    </xdr:from>
    <xdr:ext cx="27422475" cy="19050"/>
    <xdr:sp macro="" textlink="">
      <xdr:nvSpPr>
        <xdr:cNvPr id="137" name="Shape 137">
          <a:extLst>
            <a:ext uri="{FF2B5EF4-FFF2-40B4-BE49-F238E27FC236}">
              <a16:creationId xmlns:a16="http://schemas.microsoft.com/office/drawing/2014/main" id="{00000000-0008-0000-4C00-000089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wsDr>
</file>

<file path=xl/drawings/drawing79.xml><?xml version="1.0" encoding="utf-8"?>
<xdr:wsDr xmlns:xdr="http://schemas.openxmlformats.org/drawingml/2006/spreadsheetDrawing" xmlns:a="http://schemas.openxmlformats.org/drawingml/2006/main">
  <xdr:oneCellAnchor>
    <xdr:from>
      <xdr:col>0</xdr:col>
      <xdr:colOff>462026</xdr:colOff>
      <xdr:row>1</xdr:row>
      <xdr:rowOff>0</xdr:rowOff>
    </xdr:from>
    <xdr:ext cx="27422475" cy="19050"/>
    <xdr:sp macro="" textlink="">
      <xdr:nvSpPr>
        <xdr:cNvPr id="135" name="Shape 135">
          <a:extLst>
            <a:ext uri="{FF2B5EF4-FFF2-40B4-BE49-F238E27FC236}">
              <a16:creationId xmlns:a16="http://schemas.microsoft.com/office/drawing/2014/main" id="{00000000-0008-0000-4A00-000087000000}"/>
            </a:ext>
          </a:extLst>
        </xdr:cNvPr>
        <xdr:cNvSpPr/>
      </xdr:nvSpPr>
      <xdr:spPr>
        <a:xfrm>
          <a:off x="0" y="0"/>
          <a:ext cx="27422475" cy="19050"/>
        </a:xfrm>
        <a:custGeom>
          <a:avLst/>
          <a:gdLst/>
          <a:ahLst/>
          <a:cxnLst/>
          <a:rect l="0" t="0" r="0" b="0"/>
          <a:pathLst>
            <a:path w="27422475" h="19050">
              <a:moveTo>
                <a:pt x="0" y="0"/>
              </a:moveTo>
              <a:lnTo>
                <a:pt x="27422347" y="0"/>
              </a:lnTo>
              <a:lnTo>
                <a:pt x="27422347" y="19050"/>
              </a:lnTo>
              <a:lnTo>
                <a:pt x="0" y="19050"/>
              </a:lnTo>
              <a:lnTo>
                <a:pt x="0" y="0"/>
              </a:lnTo>
              <a:close/>
            </a:path>
          </a:pathLst>
        </a:custGeom>
        <a:solidFill>
          <a:srgbClr val="BABABA"/>
        </a:solidFill>
      </xdr:spPr>
    </xdr:sp>
    <xdr:clientData/>
  </xdr:oneCellAnchor>
  <xdr:twoCellAnchor>
    <xdr:from>
      <xdr:col>24</xdr:col>
      <xdr:colOff>548640</xdr:colOff>
      <xdr:row>74</xdr:row>
      <xdr:rowOff>26670</xdr:rowOff>
    </xdr:from>
    <xdr:to>
      <xdr:col>28</xdr:col>
      <xdr:colOff>243840</xdr:colOff>
      <xdr:row>91</xdr:row>
      <xdr:rowOff>83820</xdr:rowOff>
    </xdr:to>
    <xdr:graphicFrame macro="">
      <xdr:nvGraphicFramePr>
        <xdr:cNvPr id="4" name="Chart 3">
          <a:extLst>
            <a:ext uri="{FF2B5EF4-FFF2-40B4-BE49-F238E27FC236}">
              <a16:creationId xmlns:a16="http://schemas.microsoft.com/office/drawing/2014/main" id="{81393BCA-C3FE-09B1-439B-A91F12A3A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7" name="Shape 67">
          <a:extLst>
            <a:ext uri="{FF2B5EF4-FFF2-40B4-BE49-F238E27FC236}">
              <a16:creationId xmlns:a16="http://schemas.microsoft.com/office/drawing/2014/main" id="{00000000-0008-0000-0600-000043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0.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38" name="Shape 138">
          <a:extLst>
            <a:ext uri="{FF2B5EF4-FFF2-40B4-BE49-F238E27FC236}">
              <a16:creationId xmlns:a16="http://schemas.microsoft.com/office/drawing/2014/main" id="{00000000-0008-0000-4D00-00008A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1.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39" name="Shape 139">
          <a:extLst>
            <a:ext uri="{FF2B5EF4-FFF2-40B4-BE49-F238E27FC236}">
              <a16:creationId xmlns:a16="http://schemas.microsoft.com/office/drawing/2014/main" id="{00000000-0008-0000-4E00-00008B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2.xml><?xml version="1.0" encoding="utf-8"?>
<xdr:wsDr xmlns:xdr="http://schemas.openxmlformats.org/drawingml/2006/spreadsheetDrawing" xmlns:a="http://schemas.openxmlformats.org/drawingml/2006/main">
  <xdr:oneCellAnchor>
    <xdr:from>
      <xdr:col>0</xdr:col>
      <xdr:colOff>462026</xdr:colOff>
      <xdr:row>41</xdr:row>
      <xdr:rowOff>0</xdr:rowOff>
    </xdr:from>
    <xdr:ext cx="6848475" cy="19050"/>
    <xdr:sp macro="" textlink="">
      <xdr:nvSpPr>
        <xdr:cNvPr id="140" name="Shape 140">
          <a:extLst>
            <a:ext uri="{FF2B5EF4-FFF2-40B4-BE49-F238E27FC236}">
              <a16:creationId xmlns:a16="http://schemas.microsoft.com/office/drawing/2014/main" id="{00000000-0008-0000-4F00-00008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83.xml><?xml version="1.0" encoding="utf-8"?>
<xdr:wsDr xmlns:xdr="http://schemas.openxmlformats.org/drawingml/2006/spreadsheetDrawing" xmlns:a="http://schemas.openxmlformats.org/drawingml/2006/main">
  <xdr:oneCellAnchor>
    <xdr:from>
      <xdr:col>0</xdr:col>
      <xdr:colOff>462026</xdr:colOff>
      <xdr:row>1</xdr:row>
      <xdr:rowOff>0</xdr:rowOff>
    </xdr:from>
    <xdr:ext cx="6155690" cy="19050"/>
    <xdr:sp macro="" textlink="">
      <xdr:nvSpPr>
        <xdr:cNvPr id="141" name="Shape 141">
          <a:extLst>
            <a:ext uri="{FF2B5EF4-FFF2-40B4-BE49-F238E27FC236}">
              <a16:creationId xmlns:a16="http://schemas.microsoft.com/office/drawing/2014/main" id="{00000000-0008-0000-5000-00008D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4.xml><?xml version="1.0" encoding="utf-8"?>
<xdr:wsDr xmlns:xdr="http://schemas.openxmlformats.org/drawingml/2006/spreadsheetDrawing" xmlns:a="http://schemas.openxmlformats.org/drawingml/2006/main">
  <xdr:oneCellAnchor>
    <xdr:from>
      <xdr:col>0</xdr:col>
      <xdr:colOff>462026</xdr:colOff>
      <xdr:row>1</xdr:row>
      <xdr:rowOff>0</xdr:rowOff>
    </xdr:from>
    <xdr:ext cx="6155690" cy="19050"/>
    <xdr:sp macro="" textlink="">
      <xdr:nvSpPr>
        <xdr:cNvPr id="142" name="Shape 142">
          <a:extLst>
            <a:ext uri="{FF2B5EF4-FFF2-40B4-BE49-F238E27FC236}">
              <a16:creationId xmlns:a16="http://schemas.microsoft.com/office/drawing/2014/main" id="{00000000-0008-0000-5100-00008E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5.xml><?xml version="1.0" encoding="utf-8"?>
<xdr:wsDr xmlns:xdr="http://schemas.openxmlformats.org/drawingml/2006/spreadsheetDrawing" xmlns:a="http://schemas.openxmlformats.org/drawingml/2006/main">
  <xdr:oneCellAnchor>
    <xdr:from>
      <xdr:col>0</xdr:col>
      <xdr:colOff>462026</xdr:colOff>
      <xdr:row>10</xdr:row>
      <xdr:rowOff>0</xdr:rowOff>
    </xdr:from>
    <xdr:ext cx="6155690" cy="19050"/>
    <xdr:sp macro="" textlink="">
      <xdr:nvSpPr>
        <xdr:cNvPr id="143" name="Shape 143">
          <a:extLst>
            <a:ext uri="{FF2B5EF4-FFF2-40B4-BE49-F238E27FC236}">
              <a16:creationId xmlns:a16="http://schemas.microsoft.com/office/drawing/2014/main" id="{00000000-0008-0000-5200-00008F000000}"/>
            </a:ext>
          </a:extLst>
        </xdr:cNvPr>
        <xdr:cNvSpPr/>
      </xdr:nvSpPr>
      <xdr:spPr>
        <a:xfrm>
          <a:off x="0" y="0"/>
          <a:ext cx="6155690" cy="19050"/>
        </a:xfrm>
        <a:custGeom>
          <a:avLst/>
          <a:gdLst/>
          <a:ahLst/>
          <a:cxnLst/>
          <a:rect l="0" t="0" r="0" b="0"/>
          <a:pathLst>
            <a:path w="6155690" h="19050">
              <a:moveTo>
                <a:pt x="0" y="0"/>
              </a:moveTo>
              <a:lnTo>
                <a:pt x="6155308" y="0"/>
              </a:lnTo>
              <a:lnTo>
                <a:pt x="6155308" y="19050"/>
              </a:lnTo>
              <a:lnTo>
                <a:pt x="0" y="19050"/>
              </a:lnTo>
              <a:lnTo>
                <a:pt x="0" y="0"/>
              </a:lnTo>
              <a:close/>
            </a:path>
          </a:pathLst>
        </a:custGeom>
        <a:solidFill>
          <a:srgbClr val="BABABA"/>
        </a:solidFill>
      </xdr:spPr>
    </xdr:sp>
    <xdr:clientData/>
  </xdr:oneCellAnchor>
</xdr:wsDr>
</file>

<file path=xl/drawings/drawing86.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5" name="Shape 145">
          <a:extLst>
            <a:ext uri="{FF2B5EF4-FFF2-40B4-BE49-F238E27FC236}">
              <a16:creationId xmlns:a16="http://schemas.microsoft.com/office/drawing/2014/main" id="{00000000-0008-0000-5400-000091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7.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6" name="Shape 146">
          <a:extLst>
            <a:ext uri="{FF2B5EF4-FFF2-40B4-BE49-F238E27FC236}">
              <a16:creationId xmlns:a16="http://schemas.microsoft.com/office/drawing/2014/main" id="{00000000-0008-0000-5500-000092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8.xml><?xml version="1.0" encoding="utf-8"?>
<xdr:wsDr xmlns:xdr="http://schemas.openxmlformats.org/drawingml/2006/spreadsheetDrawing" xmlns:a="http://schemas.openxmlformats.org/drawingml/2006/main">
  <xdr:oneCellAnchor>
    <xdr:from>
      <xdr:col>0</xdr:col>
      <xdr:colOff>462026</xdr:colOff>
      <xdr:row>15</xdr:row>
      <xdr:rowOff>0</xdr:rowOff>
    </xdr:from>
    <xdr:ext cx="6779895" cy="19050"/>
    <xdr:sp macro="" textlink="">
      <xdr:nvSpPr>
        <xdr:cNvPr id="147" name="Shape 147">
          <a:extLst>
            <a:ext uri="{FF2B5EF4-FFF2-40B4-BE49-F238E27FC236}">
              <a16:creationId xmlns:a16="http://schemas.microsoft.com/office/drawing/2014/main" id="{00000000-0008-0000-5600-000093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wsDr>
</file>

<file path=xl/drawings/drawing89.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48" name="Shape 148">
          <a:extLst>
            <a:ext uri="{FF2B5EF4-FFF2-40B4-BE49-F238E27FC236}">
              <a16:creationId xmlns:a16="http://schemas.microsoft.com/office/drawing/2014/main" id="{00000000-0008-0000-5700-000094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68" name="Shape 68">
          <a:extLst>
            <a:ext uri="{FF2B5EF4-FFF2-40B4-BE49-F238E27FC236}">
              <a16:creationId xmlns:a16="http://schemas.microsoft.com/office/drawing/2014/main" id="{00000000-0008-0000-0700-000044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drawings/drawing90.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49" name="Shape 149">
          <a:extLst>
            <a:ext uri="{FF2B5EF4-FFF2-40B4-BE49-F238E27FC236}">
              <a16:creationId xmlns:a16="http://schemas.microsoft.com/office/drawing/2014/main" id="{00000000-0008-0000-5800-000095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1.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0" name="Shape 150">
          <a:extLst>
            <a:ext uri="{FF2B5EF4-FFF2-40B4-BE49-F238E27FC236}">
              <a16:creationId xmlns:a16="http://schemas.microsoft.com/office/drawing/2014/main" id="{00000000-0008-0000-5900-000096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2.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1" name="Shape 151">
          <a:extLst>
            <a:ext uri="{FF2B5EF4-FFF2-40B4-BE49-F238E27FC236}">
              <a16:creationId xmlns:a16="http://schemas.microsoft.com/office/drawing/2014/main" id="{00000000-0008-0000-5A00-000097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3.xml><?xml version="1.0" encoding="utf-8"?>
<xdr:wsDr xmlns:xdr="http://schemas.openxmlformats.org/drawingml/2006/spreadsheetDrawing" xmlns:a="http://schemas.openxmlformats.org/drawingml/2006/main">
  <xdr:oneCellAnchor>
    <xdr:from>
      <xdr:col>0</xdr:col>
      <xdr:colOff>462026</xdr:colOff>
      <xdr:row>16</xdr:row>
      <xdr:rowOff>0</xdr:rowOff>
    </xdr:from>
    <xdr:ext cx="6804025" cy="19050"/>
    <xdr:sp macro="" textlink="">
      <xdr:nvSpPr>
        <xdr:cNvPr id="152" name="Shape 152">
          <a:extLst>
            <a:ext uri="{FF2B5EF4-FFF2-40B4-BE49-F238E27FC236}">
              <a16:creationId xmlns:a16="http://schemas.microsoft.com/office/drawing/2014/main" id="{00000000-0008-0000-5B00-000098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4.xml><?xml version="1.0" encoding="utf-8"?>
<xdr:wsDr xmlns:xdr="http://schemas.openxmlformats.org/drawingml/2006/spreadsheetDrawing" xmlns:a="http://schemas.openxmlformats.org/drawingml/2006/main">
  <xdr:oneCellAnchor>
    <xdr:from>
      <xdr:col>0</xdr:col>
      <xdr:colOff>462026</xdr:colOff>
      <xdr:row>1</xdr:row>
      <xdr:rowOff>0</xdr:rowOff>
    </xdr:from>
    <xdr:ext cx="6779895" cy="19050"/>
    <xdr:sp macro="" textlink="">
      <xdr:nvSpPr>
        <xdr:cNvPr id="144" name="Shape 144">
          <a:extLst>
            <a:ext uri="{FF2B5EF4-FFF2-40B4-BE49-F238E27FC236}">
              <a16:creationId xmlns:a16="http://schemas.microsoft.com/office/drawing/2014/main" id="{00000000-0008-0000-5300-000090000000}"/>
            </a:ext>
          </a:extLst>
        </xdr:cNvPr>
        <xdr:cNvSpPr/>
      </xdr:nvSpPr>
      <xdr:spPr>
        <a:xfrm>
          <a:off x="0" y="0"/>
          <a:ext cx="6779895" cy="19050"/>
        </a:xfrm>
        <a:custGeom>
          <a:avLst/>
          <a:gdLst/>
          <a:ahLst/>
          <a:cxnLst/>
          <a:rect l="0" t="0" r="0" b="0"/>
          <a:pathLst>
            <a:path w="6779895" h="19050">
              <a:moveTo>
                <a:pt x="0" y="0"/>
              </a:moveTo>
              <a:lnTo>
                <a:pt x="6779895" y="0"/>
              </a:lnTo>
              <a:lnTo>
                <a:pt x="6779895" y="19050"/>
              </a:lnTo>
              <a:lnTo>
                <a:pt x="0" y="19050"/>
              </a:lnTo>
              <a:lnTo>
                <a:pt x="0" y="0"/>
              </a:lnTo>
              <a:close/>
            </a:path>
          </a:pathLst>
        </a:custGeom>
        <a:solidFill>
          <a:srgbClr val="BABABA"/>
        </a:solidFill>
      </xdr:spPr>
    </xdr:sp>
    <xdr:clientData/>
  </xdr:oneCellAnchor>
  <xdr:twoCellAnchor>
    <xdr:from>
      <xdr:col>17</xdr:col>
      <xdr:colOff>548640</xdr:colOff>
      <xdr:row>8</xdr:row>
      <xdr:rowOff>7626</xdr:rowOff>
    </xdr:from>
    <xdr:to>
      <xdr:col>26</xdr:col>
      <xdr:colOff>510540</xdr:colOff>
      <xdr:row>29</xdr:row>
      <xdr:rowOff>7620</xdr:rowOff>
    </xdr:to>
    <xdr:graphicFrame macro="">
      <xdr:nvGraphicFramePr>
        <xdr:cNvPr id="2" name="Chart 1">
          <a:extLst>
            <a:ext uri="{FF2B5EF4-FFF2-40B4-BE49-F238E27FC236}">
              <a16:creationId xmlns:a16="http://schemas.microsoft.com/office/drawing/2014/main" id="{D28D0DE3-AC31-FB18-0EEB-6E2D9629C3E8}"/>
            </a:ext>
            <a:ext uri="{147F2762-F138-4A5C-976F-8EAC2B608ADB}">
              <a16:predDERef xmlns:a16="http://schemas.microsoft.com/office/drawing/2014/main" pred="{00000000-0008-0000-53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655320</xdr:colOff>
      <xdr:row>4</xdr:row>
      <xdr:rowOff>22866</xdr:rowOff>
    </xdr:from>
    <xdr:to>
      <xdr:col>16</xdr:col>
      <xdr:colOff>480060</xdr:colOff>
      <xdr:row>22</xdr:row>
      <xdr:rowOff>22866</xdr:rowOff>
    </xdr:to>
    <xdr:graphicFrame macro="">
      <xdr:nvGraphicFramePr>
        <xdr:cNvPr id="3" name="Chart 2">
          <a:extLst>
            <a:ext uri="{FF2B5EF4-FFF2-40B4-BE49-F238E27FC236}">
              <a16:creationId xmlns:a16="http://schemas.microsoft.com/office/drawing/2014/main" id="{E3896D08-2F6D-90B6-D588-659BA965026A}"/>
            </a:ext>
            <a:ext uri="{147F2762-F138-4A5C-976F-8EAC2B608ADB}">
              <a16:predDERef xmlns:a16="http://schemas.microsoft.com/office/drawing/2014/main" pred="{D28D0DE3-AC31-FB18-0EEB-6E2D9629C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44</xdr:row>
      <xdr:rowOff>57150</xdr:rowOff>
    </xdr:from>
    <xdr:to>
      <xdr:col>16</xdr:col>
      <xdr:colOff>114300</xdr:colOff>
      <xdr:row>61</xdr:row>
      <xdr:rowOff>102870</xdr:rowOff>
    </xdr:to>
    <xdr:graphicFrame macro="">
      <xdr:nvGraphicFramePr>
        <xdr:cNvPr id="4" name="Chart 3">
          <a:extLst>
            <a:ext uri="{FF2B5EF4-FFF2-40B4-BE49-F238E27FC236}">
              <a16:creationId xmlns:a16="http://schemas.microsoft.com/office/drawing/2014/main" id="{087A4D6C-276A-371C-E3C6-9825DB8AA94A}"/>
            </a:ext>
            <a:ext uri="{147F2762-F138-4A5C-976F-8EAC2B608ADB}">
              <a16:predDERef xmlns:a16="http://schemas.microsoft.com/office/drawing/2014/main" pred="{E3896D08-2F6D-90B6-D588-659BA9650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91440</xdr:colOff>
      <xdr:row>84</xdr:row>
      <xdr:rowOff>34290</xdr:rowOff>
    </xdr:from>
    <xdr:to>
      <xdr:col>16</xdr:col>
      <xdr:colOff>594360</xdr:colOff>
      <xdr:row>100</xdr:row>
      <xdr:rowOff>95250</xdr:rowOff>
    </xdr:to>
    <xdr:graphicFrame macro="">
      <xdr:nvGraphicFramePr>
        <xdr:cNvPr id="9" name="Chart 8">
          <a:extLst>
            <a:ext uri="{FF2B5EF4-FFF2-40B4-BE49-F238E27FC236}">
              <a16:creationId xmlns:a16="http://schemas.microsoft.com/office/drawing/2014/main" id="{D3001B25-22C9-F98D-3B37-43A432BF3D44}"/>
            </a:ext>
            <a:ext uri="{147F2762-F138-4A5C-976F-8EAC2B608ADB}">
              <a16:predDERef xmlns:a16="http://schemas.microsoft.com/office/drawing/2014/main" pred="{087A4D6C-276A-371C-E3C6-9825DB8AA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586740</xdr:colOff>
      <xdr:row>124</xdr:row>
      <xdr:rowOff>41910</xdr:rowOff>
    </xdr:from>
    <xdr:to>
      <xdr:col>16</xdr:col>
      <xdr:colOff>411480</xdr:colOff>
      <xdr:row>140</xdr:row>
      <xdr:rowOff>102870</xdr:rowOff>
    </xdr:to>
    <xdr:graphicFrame macro="">
      <xdr:nvGraphicFramePr>
        <xdr:cNvPr id="10" name="Chart 9">
          <a:extLst>
            <a:ext uri="{FF2B5EF4-FFF2-40B4-BE49-F238E27FC236}">
              <a16:creationId xmlns:a16="http://schemas.microsoft.com/office/drawing/2014/main" id="{89B13FD3-16C3-6FDB-2271-89D95F60A391}"/>
            </a:ext>
            <a:ext uri="{147F2762-F138-4A5C-976F-8EAC2B608ADB}">
              <a16:predDERef xmlns:a16="http://schemas.microsoft.com/office/drawing/2014/main" pred="{D3001B25-22C9-F98D-3B37-43A432BF3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5.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4" name="Shape 154">
          <a:extLst>
            <a:ext uri="{FF2B5EF4-FFF2-40B4-BE49-F238E27FC236}">
              <a16:creationId xmlns:a16="http://schemas.microsoft.com/office/drawing/2014/main" id="{00000000-0008-0000-5D00-00009A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6.xml><?xml version="1.0" encoding="utf-8"?>
<xdr:wsDr xmlns:xdr="http://schemas.openxmlformats.org/drawingml/2006/spreadsheetDrawing" xmlns:a="http://schemas.openxmlformats.org/drawingml/2006/main">
  <xdr:oneCellAnchor>
    <xdr:from>
      <xdr:col>0</xdr:col>
      <xdr:colOff>462026</xdr:colOff>
      <xdr:row>37</xdr:row>
      <xdr:rowOff>0</xdr:rowOff>
    </xdr:from>
    <xdr:ext cx="6804025" cy="19050"/>
    <xdr:sp macro="" textlink="">
      <xdr:nvSpPr>
        <xdr:cNvPr id="155" name="Shape 155">
          <a:extLst>
            <a:ext uri="{FF2B5EF4-FFF2-40B4-BE49-F238E27FC236}">
              <a16:creationId xmlns:a16="http://schemas.microsoft.com/office/drawing/2014/main" id="{00000000-0008-0000-5E00-00009B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wsDr>
</file>

<file path=xl/drawings/drawing97.xml><?xml version="1.0" encoding="utf-8"?>
<xdr:wsDr xmlns:xdr="http://schemas.openxmlformats.org/drawingml/2006/spreadsheetDrawing" xmlns:a="http://schemas.openxmlformats.org/drawingml/2006/main">
  <xdr:oneCellAnchor>
    <xdr:from>
      <xdr:col>0</xdr:col>
      <xdr:colOff>462026</xdr:colOff>
      <xdr:row>1</xdr:row>
      <xdr:rowOff>0</xdr:rowOff>
    </xdr:from>
    <xdr:ext cx="6804025" cy="19050"/>
    <xdr:sp macro="" textlink="">
      <xdr:nvSpPr>
        <xdr:cNvPr id="153" name="Shape 153">
          <a:extLst>
            <a:ext uri="{FF2B5EF4-FFF2-40B4-BE49-F238E27FC236}">
              <a16:creationId xmlns:a16="http://schemas.microsoft.com/office/drawing/2014/main" id="{00000000-0008-0000-5C00-000099000000}"/>
            </a:ext>
          </a:extLst>
        </xdr:cNvPr>
        <xdr:cNvSpPr/>
      </xdr:nvSpPr>
      <xdr:spPr>
        <a:xfrm>
          <a:off x="0" y="0"/>
          <a:ext cx="6804025" cy="19050"/>
        </a:xfrm>
        <a:custGeom>
          <a:avLst/>
          <a:gdLst/>
          <a:ahLst/>
          <a:cxnLst/>
          <a:rect l="0" t="0" r="0" b="0"/>
          <a:pathLst>
            <a:path w="6804025" h="19050">
              <a:moveTo>
                <a:pt x="0" y="0"/>
              </a:moveTo>
              <a:lnTo>
                <a:pt x="6804025" y="0"/>
              </a:lnTo>
              <a:lnTo>
                <a:pt x="6804025" y="19050"/>
              </a:lnTo>
              <a:lnTo>
                <a:pt x="0" y="19050"/>
              </a:lnTo>
              <a:lnTo>
                <a:pt x="0" y="0"/>
              </a:lnTo>
              <a:close/>
            </a:path>
          </a:pathLst>
        </a:custGeom>
        <a:solidFill>
          <a:srgbClr val="BABABA"/>
        </a:solidFill>
      </xdr:spPr>
    </xdr:sp>
    <xdr:clientData/>
  </xdr:oneCellAnchor>
  <xdr:twoCellAnchor>
    <xdr:from>
      <xdr:col>35</xdr:col>
      <xdr:colOff>601980</xdr:colOff>
      <xdr:row>7</xdr:row>
      <xdr:rowOff>72390</xdr:rowOff>
    </xdr:from>
    <xdr:to>
      <xdr:col>43</xdr:col>
      <xdr:colOff>297180</xdr:colOff>
      <xdr:row>25</xdr:row>
      <xdr:rowOff>72390</xdr:rowOff>
    </xdr:to>
    <xdr:graphicFrame macro="">
      <xdr:nvGraphicFramePr>
        <xdr:cNvPr id="55" name="Chart 3">
          <a:extLst>
            <a:ext uri="{FF2B5EF4-FFF2-40B4-BE49-F238E27FC236}">
              <a16:creationId xmlns:a16="http://schemas.microsoft.com/office/drawing/2014/main" id="{8A2D6286-F7FD-C82C-4B93-69496A8A293E}"/>
            </a:ext>
            <a:ext uri="{147F2762-F138-4A5C-976F-8EAC2B608ADB}">
              <a16:predDERef xmlns:a16="http://schemas.microsoft.com/office/drawing/2014/main" pred="{00000000-0008-0000-5C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601980</xdr:colOff>
      <xdr:row>32</xdr:row>
      <xdr:rowOff>148590</xdr:rowOff>
    </xdr:from>
    <xdr:to>
      <xdr:col>43</xdr:col>
      <xdr:colOff>297180</xdr:colOff>
      <xdr:row>50</xdr:row>
      <xdr:rowOff>148590</xdr:rowOff>
    </xdr:to>
    <xdr:graphicFrame macro="">
      <xdr:nvGraphicFramePr>
        <xdr:cNvPr id="60" name="Chart 4">
          <a:extLst>
            <a:ext uri="{FF2B5EF4-FFF2-40B4-BE49-F238E27FC236}">
              <a16:creationId xmlns:a16="http://schemas.microsoft.com/office/drawing/2014/main" id="{177FBDFB-B01A-3AB3-C235-3B440BDA0B14}"/>
            </a:ext>
            <a:ext uri="{147F2762-F138-4A5C-976F-8EAC2B608ADB}">
              <a16:predDERef xmlns:a16="http://schemas.microsoft.com/office/drawing/2014/main" pred="{8A2D6286-F7FD-C82C-4B93-69496A8A2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144780</xdr:colOff>
      <xdr:row>8</xdr:row>
      <xdr:rowOff>53346</xdr:rowOff>
    </xdr:from>
    <xdr:to>
      <xdr:col>52</xdr:col>
      <xdr:colOff>449580</xdr:colOff>
      <xdr:row>26</xdr:row>
      <xdr:rowOff>53346</xdr:rowOff>
    </xdr:to>
    <xdr:graphicFrame macro="">
      <xdr:nvGraphicFramePr>
        <xdr:cNvPr id="61" name="Chart 5">
          <a:extLst>
            <a:ext uri="{FF2B5EF4-FFF2-40B4-BE49-F238E27FC236}">
              <a16:creationId xmlns:a16="http://schemas.microsoft.com/office/drawing/2014/main" id="{2395693C-DA6A-4B90-3F56-F64B8E051B22}"/>
            </a:ext>
            <a:ext uri="{147F2762-F138-4A5C-976F-8EAC2B608ADB}">
              <a16:predDERef xmlns:a16="http://schemas.microsoft.com/office/drawing/2014/main" pred="{177FBDFB-B01A-3AB3-C235-3B440BDA0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601980</xdr:colOff>
      <xdr:row>41</xdr:row>
      <xdr:rowOff>114300</xdr:rowOff>
    </xdr:from>
    <xdr:to>
      <xdr:col>53</xdr:col>
      <xdr:colOff>205740</xdr:colOff>
      <xdr:row>61</xdr:row>
      <xdr:rowOff>121920</xdr:rowOff>
    </xdr:to>
    <xdr:graphicFrame macro="">
      <xdr:nvGraphicFramePr>
        <xdr:cNvPr id="2" name="Chart 1">
          <a:extLst>
            <a:ext uri="{FF2B5EF4-FFF2-40B4-BE49-F238E27FC236}">
              <a16:creationId xmlns:a16="http://schemas.microsoft.com/office/drawing/2014/main" id="{E75A94A4-30B7-13C2-C6C0-706A6752DB69}"/>
            </a:ext>
            <a:ext uri="{147F2762-F138-4A5C-976F-8EAC2B608ADB}">
              <a16:predDERef xmlns:a16="http://schemas.microsoft.com/office/drawing/2014/main" pred="{2395693C-DA6A-4B90-3F56-F64B8E051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289560</xdr:colOff>
      <xdr:row>20</xdr:row>
      <xdr:rowOff>15246</xdr:rowOff>
    </xdr:from>
    <xdr:to>
      <xdr:col>12</xdr:col>
      <xdr:colOff>297180</xdr:colOff>
      <xdr:row>38</xdr:row>
      <xdr:rowOff>15246</xdr:rowOff>
    </xdr:to>
    <xdr:graphicFrame macro="">
      <xdr:nvGraphicFramePr>
        <xdr:cNvPr id="5" name="Chart 4">
          <a:extLst>
            <a:ext uri="{FF2B5EF4-FFF2-40B4-BE49-F238E27FC236}">
              <a16:creationId xmlns:a16="http://schemas.microsoft.com/office/drawing/2014/main" id="{44EBB96E-F41A-A499-0E1D-0F48237495A1}"/>
            </a:ext>
            <a:ext uri="{147F2762-F138-4A5C-976F-8EAC2B608ADB}">
              <a16:predDERef xmlns:a16="http://schemas.microsoft.com/office/drawing/2014/main" pred="{E75A94A4-30B7-13C2-C6C0-706A6752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1790700</xdr:colOff>
      <xdr:row>22</xdr:row>
      <xdr:rowOff>26670</xdr:rowOff>
    </xdr:from>
    <xdr:to>
      <xdr:col>5</xdr:col>
      <xdr:colOff>114300</xdr:colOff>
      <xdr:row>40</xdr:row>
      <xdr:rowOff>26670</xdr:rowOff>
    </xdr:to>
    <xdr:graphicFrame macro="">
      <xdr:nvGraphicFramePr>
        <xdr:cNvPr id="7" name="Chart 6">
          <a:extLst>
            <a:ext uri="{FF2B5EF4-FFF2-40B4-BE49-F238E27FC236}">
              <a16:creationId xmlns:a16="http://schemas.microsoft.com/office/drawing/2014/main" id="{E0118B54-A4DE-F013-19E5-1E92948006F1}"/>
            </a:ext>
            <a:ext uri="{147F2762-F138-4A5C-976F-8EAC2B608ADB}">
              <a16:predDERef xmlns:a16="http://schemas.microsoft.com/office/drawing/2014/main" pred="{44EBB96E-F41A-A499-0E1D-0F4823749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647700</xdr:colOff>
      <xdr:row>3</xdr:row>
      <xdr:rowOff>87630</xdr:rowOff>
    </xdr:from>
    <xdr:to>
      <xdr:col>3</xdr:col>
      <xdr:colOff>480060</xdr:colOff>
      <xdr:row>21</xdr:row>
      <xdr:rowOff>95250</xdr:rowOff>
    </xdr:to>
    <xdr:graphicFrame macro="">
      <xdr:nvGraphicFramePr>
        <xdr:cNvPr id="8" name="Chart 7">
          <a:extLst>
            <a:ext uri="{FF2B5EF4-FFF2-40B4-BE49-F238E27FC236}">
              <a16:creationId xmlns:a16="http://schemas.microsoft.com/office/drawing/2014/main" id="{6C755634-B461-7147-4B20-5B8E936FA4DF}"/>
            </a:ext>
            <a:ext uri="{147F2762-F138-4A5C-976F-8EAC2B608ADB}">
              <a16:predDERef xmlns:a16="http://schemas.microsoft.com/office/drawing/2014/main" pred="{E0118B54-A4DE-F013-19E5-1E929480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144780</xdr:colOff>
      <xdr:row>15</xdr:row>
      <xdr:rowOff>106686</xdr:rowOff>
    </xdr:from>
    <xdr:to>
      <xdr:col>25</xdr:col>
      <xdr:colOff>449580</xdr:colOff>
      <xdr:row>33</xdr:row>
      <xdr:rowOff>106686</xdr:rowOff>
    </xdr:to>
    <xdr:graphicFrame macro="">
      <xdr:nvGraphicFramePr>
        <xdr:cNvPr id="10" name="Chart 9">
          <a:extLst>
            <a:ext uri="{FF2B5EF4-FFF2-40B4-BE49-F238E27FC236}">
              <a16:creationId xmlns:a16="http://schemas.microsoft.com/office/drawing/2014/main" id="{F2944FA6-9F89-30F9-FCA2-EF79CD526AC2}"/>
            </a:ext>
            <a:ext uri="{147F2762-F138-4A5C-976F-8EAC2B608ADB}">
              <a16:predDERef xmlns:a16="http://schemas.microsoft.com/office/drawing/2014/main" pred="{6C755634-B461-7147-4B20-5B8E936FA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579120</xdr:colOff>
      <xdr:row>57</xdr:row>
      <xdr:rowOff>121926</xdr:rowOff>
    </xdr:from>
    <xdr:to>
      <xdr:col>8</xdr:col>
      <xdr:colOff>594360</xdr:colOff>
      <xdr:row>68</xdr:row>
      <xdr:rowOff>45726</xdr:rowOff>
    </xdr:to>
    <xdr:graphicFrame macro="">
      <xdr:nvGraphicFramePr>
        <xdr:cNvPr id="3" name="Chart 2">
          <a:extLst>
            <a:ext uri="{FF2B5EF4-FFF2-40B4-BE49-F238E27FC236}">
              <a16:creationId xmlns:a16="http://schemas.microsoft.com/office/drawing/2014/main" id="{3562F7CF-388F-B26A-9D8D-C3C6CAF0A6F6}"/>
            </a:ext>
            <a:ext uri="{147F2762-F138-4A5C-976F-8EAC2B608ADB}">
              <a16:predDERef xmlns:a16="http://schemas.microsoft.com/office/drawing/2014/main" pred="{F2944FA6-9F89-30F9-FCA2-EF79CD526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2705100</xdr:colOff>
      <xdr:row>99</xdr:row>
      <xdr:rowOff>22866</xdr:rowOff>
    </xdr:from>
    <xdr:to>
      <xdr:col>6</xdr:col>
      <xdr:colOff>266700</xdr:colOff>
      <xdr:row>115</xdr:row>
      <xdr:rowOff>83826</xdr:rowOff>
    </xdr:to>
    <xdr:graphicFrame macro="">
      <xdr:nvGraphicFramePr>
        <xdr:cNvPr id="4" name="Chart 3">
          <a:extLst>
            <a:ext uri="{FF2B5EF4-FFF2-40B4-BE49-F238E27FC236}">
              <a16:creationId xmlns:a16="http://schemas.microsoft.com/office/drawing/2014/main" id="{CDAD6CDE-83D7-F567-BC10-4A7886C429F0}"/>
            </a:ext>
            <a:ext uri="{147F2762-F138-4A5C-976F-8EAC2B608ADB}">
              <a16:predDERef xmlns:a16="http://schemas.microsoft.com/office/drawing/2014/main" pred="{3562F7CF-388F-B26A-9D8D-C3C6CAF0A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87</xdr:row>
      <xdr:rowOff>60966</xdr:rowOff>
    </xdr:from>
    <xdr:to>
      <xdr:col>2</xdr:col>
      <xdr:colOff>594360</xdr:colOff>
      <xdr:row>103</xdr:row>
      <xdr:rowOff>121926</xdr:rowOff>
    </xdr:to>
    <xdr:graphicFrame macro="">
      <xdr:nvGraphicFramePr>
        <xdr:cNvPr id="9" name="Chart 8">
          <a:extLst>
            <a:ext uri="{FF2B5EF4-FFF2-40B4-BE49-F238E27FC236}">
              <a16:creationId xmlns:a16="http://schemas.microsoft.com/office/drawing/2014/main" id="{FBCBC0BA-3ADB-051B-8A24-185959BF1374}"/>
            </a:ext>
            <a:ext uri="{147F2762-F138-4A5C-976F-8EAC2B608ADB}">
              <a16:predDERef xmlns:a16="http://schemas.microsoft.com/office/drawing/2014/main" pred="{CDAD6CDE-83D7-F567-BC10-4A7886C42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22860</xdr:colOff>
      <xdr:row>104</xdr:row>
      <xdr:rowOff>38106</xdr:rowOff>
    </xdr:from>
    <xdr:to>
      <xdr:col>8</xdr:col>
      <xdr:colOff>38100</xdr:colOff>
      <xdr:row>120</xdr:row>
      <xdr:rowOff>99066</xdr:rowOff>
    </xdr:to>
    <xdr:graphicFrame macro="">
      <xdr:nvGraphicFramePr>
        <xdr:cNvPr id="11" name="Chart 10">
          <a:extLst>
            <a:ext uri="{FF2B5EF4-FFF2-40B4-BE49-F238E27FC236}">
              <a16:creationId xmlns:a16="http://schemas.microsoft.com/office/drawing/2014/main" id="{747B90D9-3334-49F8-31DC-A0199A2BEAD1}"/>
            </a:ext>
            <a:ext uri="{147F2762-F138-4A5C-976F-8EAC2B608ADB}">
              <a16:predDERef xmlns:a16="http://schemas.microsoft.com/office/drawing/2014/main" pred="{FBCBC0BA-3ADB-051B-8A24-185959BF1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457200</xdr:colOff>
      <xdr:row>113</xdr:row>
      <xdr:rowOff>144786</xdr:rowOff>
    </xdr:from>
    <xdr:to>
      <xdr:col>8</xdr:col>
      <xdr:colOff>472440</xdr:colOff>
      <xdr:row>130</xdr:row>
      <xdr:rowOff>38106</xdr:rowOff>
    </xdr:to>
    <xdr:graphicFrame macro="">
      <xdr:nvGraphicFramePr>
        <xdr:cNvPr id="12" name="Chart 11">
          <a:extLst>
            <a:ext uri="{FF2B5EF4-FFF2-40B4-BE49-F238E27FC236}">
              <a16:creationId xmlns:a16="http://schemas.microsoft.com/office/drawing/2014/main" id="{DC2950AE-BDB9-D6AD-1CDD-981B8EDF2BED}"/>
            </a:ext>
            <a:ext uri="{147F2762-F138-4A5C-976F-8EAC2B608ADB}">
              <a16:predDERef xmlns:a16="http://schemas.microsoft.com/office/drawing/2014/main" pred="{747B90D9-3334-49F8-31DC-A0199A2BE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xdr:row>
      <xdr:rowOff>99066</xdr:rowOff>
    </xdr:from>
    <xdr:to>
      <xdr:col>2</xdr:col>
      <xdr:colOff>594360</xdr:colOff>
      <xdr:row>80</xdr:row>
      <xdr:rowOff>22866</xdr:rowOff>
    </xdr:to>
    <xdr:graphicFrame macro="">
      <xdr:nvGraphicFramePr>
        <xdr:cNvPr id="13" name="Chart 12">
          <a:extLst>
            <a:ext uri="{FF2B5EF4-FFF2-40B4-BE49-F238E27FC236}">
              <a16:creationId xmlns:a16="http://schemas.microsoft.com/office/drawing/2014/main" id="{6BC812D9-10BE-A320-3AF7-7EACBEC5CEAC}"/>
            </a:ext>
            <a:ext uri="{147F2762-F138-4A5C-976F-8EAC2B608ADB}">
              <a16:predDERef xmlns:a16="http://schemas.microsoft.com/office/drawing/2014/main" pred="{DC2950AE-BDB9-D6AD-1CDD-981B8EDF2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182880</xdr:colOff>
      <xdr:row>68</xdr:row>
      <xdr:rowOff>121926</xdr:rowOff>
    </xdr:from>
    <xdr:to>
      <xdr:col>8</xdr:col>
      <xdr:colOff>198120</xdr:colOff>
      <xdr:row>85</xdr:row>
      <xdr:rowOff>15246</xdr:rowOff>
    </xdr:to>
    <xdr:graphicFrame macro="">
      <xdr:nvGraphicFramePr>
        <xdr:cNvPr id="14" name="Chart 13">
          <a:extLst>
            <a:ext uri="{FF2B5EF4-FFF2-40B4-BE49-F238E27FC236}">
              <a16:creationId xmlns:a16="http://schemas.microsoft.com/office/drawing/2014/main" id="{C8017F62-D240-D89A-8245-CB5007078315}"/>
            </a:ext>
            <a:ext uri="{147F2762-F138-4A5C-976F-8EAC2B608ADB}">
              <a16:predDERef xmlns:a16="http://schemas.microsoft.com/office/drawing/2014/main" pred="{6BC812D9-10BE-A320-3AF7-7EACBEC5C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701040</xdr:colOff>
      <xdr:row>3</xdr:row>
      <xdr:rowOff>64770</xdr:rowOff>
    </xdr:from>
    <xdr:to>
      <xdr:col>10</xdr:col>
      <xdr:colOff>220980</xdr:colOff>
      <xdr:row>21</xdr:row>
      <xdr:rowOff>72390</xdr:rowOff>
    </xdr:to>
    <xdr:graphicFrame macro="">
      <xdr:nvGraphicFramePr>
        <xdr:cNvPr id="15" name="Chart 14">
          <a:extLst>
            <a:ext uri="{FF2B5EF4-FFF2-40B4-BE49-F238E27FC236}">
              <a16:creationId xmlns:a16="http://schemas.microsoft.com/office/drawing/2014/main" id="{AF46D9BA-4E9F-430D-AF75-89E0FAAB080E}"/>
            </a:ext>
            <a:ext uri="{147F2762-F138-4A5C-976F-8EAC2B608ADB}">
              <a16:predDERef xmlns:a16="http://schemas.microsoft.com/office/drawing/2014/main" pred="{C8017F62-D240-D89A-8245-CB500707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457200</xdr:colOff>
      <xdr:row>41</xdr:row>
      <xdr:rowOff>60966</xdr:rowOff>
    </xdr:from>
    <xdr:to>
      <xdr:col>8</xdr:col>
      <xdr:colOff>472440</xdr:colOff>
      <xdr:row>58</xdr:row>
      <xdr:rowOff>91446</xdr:rowOff>
    </xdr:to>
    <xdr:graphicFrame macro="">
      <xdr:nvGraphicFramePr>
        <xdr:cNvPr id="16" name="Chart 15">
          <a:extLst>
            <a:ext uri="{FF2B5EF4-FFF2-40B4-BE49-F238E27FC236}">
              <a16:creationId xmlns:a16="http://schemas.microsoft.com/office/drawing/2014/main" id="{9160ADB5-5256-B8C5-62B1-F30A6400F38F}"/>
            </a:ext>
            <a:ext uri="{147F2762-F138-4A5C-976F-8EAC2B608ADB}">
              <a16:predDERef xmlns:a16="http://schemas.microsoft.com/office/drawing/2014/main" pred="{AF46D9BA-4E9F-430D-AF75-89E0FAAB0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98.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56" name="Shape 156">
          <a:extLst>
            <a:ext uri="{FF2B5EF4-FFF2-40B4-BE49-F238E27FC236}">
              <a16:creationId xmlns:a16="http://schemas.microsoft.com/office/drawing/2014/main" id="{00000000-0008-0000-5F00-00009C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twoCellAnchor>
    <xdr:from>
      <xdr:col>16</xdr:col>
      <xdr:colOff>510540</xdr:colOff>
      <xdr:row>15</xdr:row>
      <xdr:rowOff>144786</xdr:rowOff>
    </xdr:from>
    <xdr:to>
      <xdr:col>26</xdr:col>
      <xdr:colOff>106680</xdr:colOff>
      <xdr:row>41</xdr:row>
      <xdr:rowOff>129540</xdr:rowOff>
    </xdr:to>
    <xdr:graphicFrame macro="">
      <xdr:nvGraphicFramePr>
        <xdr:cNvPr id="3" name="Chart 2">
          <a:extLst>
            <a:ext uri="{FF2B5EF4-FFF2-40B4-BE49-F238E27FC236}">
              <a16:creationId xmlns:a16="http://schemas.microsoft.com/office/drawing/2014/main" id="{24DB4DFE-B393-F161-7F54-0548EC364AF8}"/>
            </a:ext>
            <a:ext uri="{147F2762-F138-4A5C-976F-8EAC2B608ADB}">
              <a16:predDERef xmlns:a16="http://schemas.microsoft.com/office/drawing/2014/main" pred="{00000000-0008-0000-5F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114306</xdr:rowOff>
    </xdr:from>
    <xdr:to>
      <xdr:col>2</xdr:col>
      <xdr:colOff>548640</xdr:colOff>
      <xdr:row>21</xdr:row>
      <xdr:rowOff>114306</xdr:rowOff>
    </xdr:to>
    <xdr:graphicFrame macro="">
      <xdr:nvGraphicFramePr>
        <xdr:cNvPr id="2" name="Chart 1">
          <a:extLst>
            <a:ext uri="{FF2B5EF4-FFF2-40B4-BE49-F238E27FC236}">
              <a16:creationId xmlns:a16="http://schemas.microsoft.com/office/drawing/2014/main" id="{B3443FE3-8093-0E98-7A9C-E24641A758C8}"/>
            </a:ext>
            <a:ext uri="{147F2762-F138-4A5C-976F-8EAC2B608ADB}">
              <a16:predDERef xmlns:a16="http://schemas.microsoft.com/office/drawing/2014/main" pred="{24DB4DFE-B393-F161-7F54-0548EC364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579120</xdr:colOff>
      <xdr:row>48</xdr:row>
      <xdr:rowOff>251466</xdr:rowOff>
    </xdr:from>
    <xdr:to>
      <xdr:col>7</xdr:col>
      <xdr:colOff>594360</xdr:colOff>
      <xdr:row>65</xdr:row>
      <xdr:rowOff>60966</xdr:rowOff>
    </xdr:to>
    <xdr:graphicFrame macro="">
      <xdr:nvGraphicFramePr>
        <xdr:cNvPr id="4" name="Chart 3">
          <a:extLst>
            <a:ext uri="{FF2B5EF4-FFF2-40B4-BE49-F238E27FC236}">
              <a16:creationId xmlns:a16="http://schemas.microsoft.com/office/drawing/2014/main" id="{785B817B-2D06-9D54-23B9-22BF8F36A430}"/>
            </a:ext>
            <a:ext uri="{147F2762-F138-4A5C-976F-8EAC2B608ADB}">
              <a16:predDERef xmlns:a16="http://schemas.microsoft.com/office/drawing/2014/main" pred="{B3443FE3-8093-0E98-7A9C-E24641A75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739140</xdr:colOff>
      <xdr:row>94</xdr:row>
      <xdr:rowOff>7626</xdr:rowOff>
    </xdr:from>
    <xdr:to>
      <xdr:col>7</xdr:col>
      <xdr:colOff>754380</xdr:colOff>
      <xdr:row>110</xdr:row>
      <xdr:rowOff>68586</xdr:rowOff>
    </xdr:to>
    <xdr:graphicFrame macro="">
      <xdr:nvGraphicFramePr>
        <xdr:cNvPr id="5" name="Chart 4">
          <a:extLst>
            <a:ext uri="{FF2B5EF4-FFF2-40B4-BE49-F238E27FC236}">
              <a16:creationId xmlns:a16="http://schemas.microsoft.com/office/drawing/2014/main" id="{C5FE261E-39AC-6CAE-7570-B40C0BDCDCF7}"/>
            </a:ext>
            <a:ext uri="{147F2762-F138-4A5C-976F-8EAC2B608ADB}">
              <a16:predDERef xmlns:a16="http://schemas.microsoft.com/office/drawing/2014/main" pred="{785B817B-2D06-9D54-23B9-22BF8F36A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251460</xdr:colOff>
      <xdr:row>2</xdr:row>
      <xdr:rowOff>175266</xdr:rowOff>
    </xdr:from>
    <xdr:to>
      <xdr:col>8</xdr:col>
      <xdr:colOff>266700</xdr:colOff>
      <xdr:row>20</xdr:row>
      <xdr:rowOff>144786</xdr:rowOff>
    </xdr:to>
    <xdr:graphicFrame macro="">
      <xdr:nvGraphicFramePr>
        <xdr:cNvPr id="6" name="Chart 5">
          <a:extLst>
            <a:ext uri="{FF2B5EF4-FFF2-40B4-BE49-F238E27FC236}">
              <a16:creationId xmlns:a16="http://schemas.microsoft.com/office/drawing/2014/main" id="{14480C41-1FBA-409E-F4EC-0137D53F350A}"/>
            </a:ext>
            <a:ext uri="{147F2762-F138-4A5C-976F-8EAC2B608ADB}">
              <a16:predDERef xmlns:a16="http://schemas.microsoft.com/office/drawing/2014/main" pred="{C5FE261E-39AC-6CAE-7570-B40C0BDCD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754380</xdr:colOff>
      <xdr:row>9</xdr:row>
      <xdr:rowOff>38106</xdr:rowOff>
    </xdr:from>
    <xdr:to>
      <xdr:col>8</xdr:col>
      <xdr:colOff>7620</xdr:colOff>
      <xdr:row>27</xdr:row>
      <xdr:rowOff>38106</xdr:rowOff>
    </xdr:to>
    <xdr:graphicFrame macro="">
      <xdr:nvGraphicFramePr>
        <xdr:cNvPr id="7" name="Chart 6">
          <a:extLst>
            <a:ext uri="{FF2B5EF4-FFF2-40B4-BE49-F238E27FC236}">
              <a16:creationId xmlns:a16="http://schemas.microsoft.com/office/drawing/2014/main" id="{64AA00CD-B7F3-3DA2-BCF6-8CEF933E5816}"/>
            </a:ext>
            <a:ext uri="{147F2762-F138-4A5C-976F-8EAC2B608ADB}">
              <a16:predDERef xmlns:a16="http://schemas.microsoft.com/office/drawing/2014/main" pred="{14480C41-1FBA-409E-F4EC-0137D53F3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15</xdr:row>
      <xdr:rowOff>6</xdr:rowOff>
    </xdr:from>
    <xdr:to>
      <xdr:col>8</xdr:col>
      <xdr:colOff>472440</xdr:colOff>
      <xdr:row>33</xdr:row>
      <xdr:rowOff>6</xdr:rowOff>
    </xdr:to>
    <xdr:graphicFrame macro="">
      <xdr:nvGraphicFramePr>
        <xdr:cNvPr id="8" name="Chart 7">
          <a:extLst>
            <a:ext uri="{FF2B5EF4-FFF2-40B4-BE49-F238E27FC236}">
              <a16:creationId xmlns:a16="http://schemas.microsoft.com/office/drawing/2014/main" id="{BA12F202-54EE-54E6-7DA3-D58A2C425E9E}"/>
            </a:ext>
            <a:ext uri="{147F2762-F138-4A5C-976F-8EAC2B608ADB}">
              <a16:predDERef xmlns:a16="http://schemas.microsoft.com/office/drawing/2014/main" pred="{64AA00CD-B7F3-3DA2-BCF6-8CEF933E5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449580</xdr:colOff>
      <xdr:row>50</xdr:row>
      <xdr:rowOff>129546</xdr:rowOff>
    </xdr:from>
    <xdr:to>
      <xdr:col>9</xdr:col>
      <xdr:colOff>480060</xdr:colOff>
      <xdr:row>67</xdr:row>
      <xdr:rowOff>68586</xdr:rowOff>
    </xdr:to>
    <xdr:graphicFrame macro="">
      <xdr:nvGraphicFramePr>
        <xdr:cNvPr id="9" name="Chart 8">
          <a:extLst>
            <a:ext uri="{FF2B5EF4-FFF2-40B4-BE49-F238E27FC236}">
              <a16:creationId xmlns:a16="http://schemas.microsoft.com/office/drawing/2014/main" id="{86B2794C-346A-15F0-172F-F829B56D8340}"/>
            </a:ext>
            <a:ext uri="{147F2762-F138-4A5C-976F-8EAC2B608ADB}">
              <a16:predDERef xmlns:a16="http://schemas.microsoft.com/office/drawing/2014/main" pred="{BA12F202-54EE-54E6-7DA3-D58A2C425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57</xdr:row>
      <xdr:rowOff>30486</xdr:rowOff>
    </xdr:from>
    <xdr:to>
      <xdr:col>7</xdr:col>
      <xdr:colOff>548640</xdr:colOff>
      <xdr:row>73</xdr:row>
      <xdr:rowOff>91446</xdr:rowOff>
    </xdr:to>
    <xdr:graphicFrame macro="">
      <xdr:nvGraphicFramePr>
        <xdr:cNvPr id="10" name="Chart 9">
          <a:extLst>
            <a:ext uri="{FF2B5EF4-FFF2-40B4-BE49-F238E27FC236}">
              <a16:creationId xmlns:a16="http://schemas.microsoft.com/office/drawing/2014/main" id="{D02D230A-9565-797B-0B6F-34228BEE04E0}"/>
            </a:ext>
            <a:ext uri="{147F2762-F138-4A5C-976F-8EAC2B608ADB}">
              <a16:predDERef xmlns:a16="http://schemas.microsoft.com/office/drawing/2014/main" pred="{86B2794C-346A-15F0-172F-F829B56D8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91440</xdr:colOff>
      <xdr:row>66</xdr:row>
      <xdr:rowOff>53346</xdr:rowOff>
    </xdr:from>
    <xdr:to>
      <xdr:col>9</xdr:col>
      <xdr:colOff>121920</xdr:colOff>
      <xdr:row>82</xdr:row>
      <xdr:rowOff>114306</xdr:rowOff>
    </xdr:to>
    <xdr:graphicFrame macro="">
      <xdr:nvGraphicFramePr>
        <xdr:cNvPr id="11" name="Chart 10">
          <a:extLst>
            <a:ext uri="{FF2B5EF4-FFF2-40B4-BE49-F238E27FC236}">
              <a16:creationId xmlns:a16="http://schemas.microsoft.com/office/drawing/2014/main" id="{1010DD37-9CA8-C85D-55F7-AA530ABA8C97}"/>
            </a:ext>
            <a:ext uri="{147F2762-F138-4A5C-976F-8EAC2B608ADB}">
              <a16:predDERef xmlns:a16="http://schemas.microsoft.com/office/drawing/2014/main" pred="{D02D230A-9565-797B-0B6F-34228BEE0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87</xdr:row>
      <xdr:rowOff>160026</xdr:rowOff>
    </xdr:from>
    <xdr:to>
      <xdr:col>8</xdr:col>
      <xdr:colOff>22860</xdr:colOff>
      <xdr:row>104</xdr:row>
      <xdr:rowOff>53346</xdr:rowOff>
    </xdr:to>
    <xdr:graphicFrame macro="">
      <xdr:nvGraphicFramePr>
        <xdr:cNvPr id="12" name="Chart 11">
          <a:extLst>
            <a:ext uri="{FF2B5EF4-FFF2-40B4-BE49-F238E27FC236}">
              <a16:creationId xmlns:a16="http://schemas.microsoft.com/office/drawing/2014/main" id="{89DC41D6-6736-9E13-7670-124DA74A28AC}"/>
            </a:ext>
            <a:ext uri="{147F2762-F138-4A5C-976F-8EAC2B608ADB}">
              <a16:predDERef xmlns:a16="http://schemas.microsoft.com/office/drawing/2014/main" pred="{1010DD37-9CA8-C85D-55F7-AA530ABA8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342900</xdr:colOff>
      <xdr:row>105</xdr:row>
      <xdr:rowOff>152406</xdr:rowOff>
    </xdr:from>
    <xdr:to>
      <xdr:col>8</xdr:col>
      <xdr:colOff>358140</xdr:colOff>
      <xdr:row>122</xdr:row>
      <xdr:rowOff>45726</xdr:rowOff>
    </xdr:to>
    <xdr:graphicFrame macro="">
      <xdr:nvGraphicFramePr>
        <xdr:cNvPr id="13" name="Chart 12">
          <a:extLst>
            <a:ext uri="{FF2B5EF4-FFF2-40B4-BE49-F238E27FC236}">
              <a16:creationId xmlns:a16="http://schemas.microsoft.com/office/drawing/2014/main" id="{1BB05E70-6A90-D48F-4970-D9706E10AD42}"/>
            </a:ext>
            <a:ext uri="{147F2762-F138-4A5C-976F-8EAC2B608ADB}">
              <a16:predDERef xmlns:a16="http://schemas.microsoft.com/office/drawing/2014/main" pred="{89DC41D6-6736-9E13-7670-124DA74A2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182880</xdr:colOff>
      <xdr:row>110</xdr:row>
      <xdr:rowOff>83826</xdr:rowOff>
    </xdr:from>
    <xdr:to>
      <xdr:col>9</xdr:col>
      <xdr:colOff>213360</xdr:colOff>
      <xdr:row>126</xdr:row>
      <xdr:rowOff>144786</xdr:rowOff>
    </xdr:to>
    <xdr:graphicFrame macro="">
      <xdr:nvGraphicFramePr>
        <xdr:cNvPr id="14" name="Chart 13">
          <a:extLst>
            <a:ext uri="{FF2B5EF4-FFF2-40B4-BE49-F238E27FC236}">
              <a16:creationId xmlns:a16="http://schemas.microsoft.com/office/drawing/2014/main" id="{1C51FFC5-7EEA-C0F5-1533-FDE4966C6633}"/>
            </a:ext>
            <a:ext uri="{147F2762-F138-4A5C-976F-8EAC2B608ADB}">
              <a16:predDERef xmlns:a16="http://schemas.microsoft.com/office/drawing/2014/main" pred="{1BB05E70-6A90-D48F-4970-D9706E10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99.xml><?xml version="1.0" encoding="utf-8"?>
<xdr:wsDr xmlns:xdr="http://schemas.openxmlformats.org/drawingml/2006/spreadsheetDrawing" xmlns:a="http://schemas.openxmlformats.org/drawingml/2006/main">
  <xdr:oneCellAnchor>
    <xdr:from>
      <xdr:col>0</xdr:col>
      <xdr:colOff>462026</xdr:colOff>
      <xdr:row>1</xdr:row>
      <xdr:rowOff>0</xdr:rowOff>
    </xdr:from>
    <xdr:ext cx="6848475" cy="19050"/>
    <xdr:sp macro="" textlink="">
      <xdr:nvSpPr>
        <xdr:cNvPr id="157" name="Shape 157">
          <a:extLst>
            <a:ext uri="{FF2B5EF4-FFF2-40B4-BE49-F238E27FC236}">
              <a16:creationId xmlns:a16="http://schemas.microsoft.com/office/drawing/2014/main" id="{00000000-0008-0000-6000-00009D000000}"/>
            </a:ext>
          </a:extLst>
        </xdr:cNvPr>
        <xdr:cNvSpPr/>
      </xdr:nvSpPr>
      <xdr:spPr>
        <a:xfrm>
          <a:off x="0" y="0"/>
          <a:ext cx="6848475" cy="19050"/>
        </a:xfrm>
        <a:custGeom>
          <a:avLst/>
          <a:gdLst/>
          <a:ahLst/>
          <a:cxnLst/>
          <a:rect l="0" t="0" r="0" b="0"/>
          <a:pathLst>
            <a:path w="6848475" h="19050">
              <a:moveTo>
                <a:pt x="0" y="0"/>
              </a:moveTo>
              <a:lnTo>
                <a:pt x="6848475" y="0"/>
              </a:lnTo>
              <a:lnTo>
                <a:pt x="6848475" y="19050"/>
              </a:lnTo>
              <a:lnTo>
                <a:pt x="0" y="19050"/>
              </a:lnTo>
              <a:lnTo>
                <a:pt x="0" y="0"/>
              </a:lnTo>
              <a:close/>
            </a:path>
          </a:pathLst>
        </a:custGeom>
        <a:solidFill>
          <a:srgbClr val="BABABA"/>
        </a:solidFill>
      </xdr:spPr>
    </xdr:sp>
    <xdr:clientData/>
  </xdr:oneCellAnchor>
</xdr:wsDr>
</file>

<file path=xl/persons/person.xml><?xml version="1.0" encoding="utf-8"?>
<personList xmlns="http://schemas.microsoft.com/office/spreadsheetml/2018/threadedcomments" xmlns:x="http://schemas.openxmlformats.org/spreadsheetml/2006/main">
  <person displayName="Hailey Bauer" id="{F02728BF-49AA-4F91-8913-40F995E48A97}" userId="2fccc2f5568b73a6"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9-05T19:45:59.71" personId="{F02728BF-49AA-4F91-8913-40F995E48A97}" id="{D17DA777-DB24-48C2-8CC0-5561C1D3714F}">
    <text>Benefit - Employed
Cost - Unemployed/not in labor force</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4-09-05T19:55:18.66" personId="{F02728BF-49AA-4F91-8913-40F995E48A97}" id="{67790CEA-23DC-4208-B853-31F3E1E47B8A}">
    <text xml:space="preserve">Fin data
Note any trends with demos
This is a cost
Use to make payback period? Break-even analysis? 
</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4-09-05T19:56:59.38" personId="{F02728BF-49AA-4F91-8913-40F995E48A97}" id="{3CC66CF4-C728-4A17-8FC3-3D02B9F58D97}">
    <text>Note trends in demos
b/c w/ rela to degree/occu and sector?</text>
  </threadedComment>
  <threadedComment ref="K3" dT="2024-09-17T18:20:14.63" personId="{F02728BF-49AA-4F91-8913-40F995E48A97}" id="{7187784D-59FB-40F0-808A-984D2021F87E}">
    <text>Based on the overall total amt of surveyed ppl
Yellow/green = pos
Orange/red = neg</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4-09-05T19:57:50.47" personId="{F02728BF-49AA-4F91-8913-40F995E48A97}" id="{177E3741-564E-4BEA-B864-C471E0EE42E8}">
    <text>Note trends in indi yrs as well as trends across yrs...is a higher degree req compared to previous yrs? 
Benefit - increased prob obtaining degree by yr?
Cost - op cost not obtain higher degree?</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4-09-05T19:58:42.66" personId="{F02728BF-49AA-4F91-8913-40F995E48A97}" id="{AD621DA1-D653-464B-AFE3-3A6D10829432}">
    <text>Trends per yr and across yrs, trends in demos and degrees and degree attainment.
Benefit - increased prob obtaining degree by yr?
Cost - op cost not obtain higher degree?</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4-09-05T20:01:05.43" personId="{F02728BF-49AA-4F91-8913-40F995E48A97}" id="{C815480A-5B1A-4BC8-A33D-26763C68403F}">
    <text xml:space="preserve">Trends per yr and across yrs.
Benefit - increased prob obtaining degree by yr?
Cost - op cost not obtain higher degree?
</text>
  </threadedComment>
  <threadedComment ref="R3" dT="2024-09-17T17:48:19.75" personId="{F02728BF-49AA-4F91-8913-40F995E48A97}" id="{8FC3AB51-1592-4E07-9797-207569470E14}">
    <text xml:space="preserve">Change colors to be various shades of same color for b/m/d? Change to yr on x-axis and degree in legend?
</text>
  </threadedComment>
</ThreadedComments>
</file>

<file path=xl/threadedComments/threadedComment15.xml><?xml version="1.0" encoding="utf-8"?>
<ThreadedComments xmlns="http://schemas.microsoft.com/office/spreadsheetml/2018/threadedcomments" xmlns:x="http://schemas.openxmlformats.org/spreadsheetml/2006/main">
  <threadedComment ref="U5" dT="2024-09-17T18:52:55.70" personId="{F02728BF-49AA-4F91-8913-40F995E48A97}" id="{C0BA9DB0-9835-44FE-A9AE-D55B8055E173}">
    <text>Most variable since not all have data</text>
  </threadedComment>
</ThreadedComments>
</file>

<file path=xl/threadedComments/threadedComment16.xml><?xml version="1.0" encoding="utf-8"?>
<ThreadedComments xmlns="http://schemas.microsoft.com/office/spreadsheetml/2018/threadedcomments" xmlns:x="http://schemas.openxmlformats.org/spreadsheetml/2006/main">
  <threadedComment ref="U5" dT="2024-09-17T18:52:48.59" personId="{F02728BF-49AA-4F91-8913-40F995E48A97}" id="{EF048A0D-B1B2-4F2B-85BA-1F54C1CBB2C1}">
    <text>Most variable since not all have data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9-05T19:45:29.98" personId="{F02728BF-49AA-4F91-8913-40F995E48A97}" id="{E8E62A47-A610-48A2-9016-A10702787FED}">
    <text xml:space="preserve">Add note at end of report relating to if want a career in blank then should get blank degree, based on pop data and trends. Make graph to demonstrate. Include degrees?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9-05T19:47:11.72" personId="{F02728BF-49AA-4F91-8913-40F995E48A97}" id="{C02FC704-E456-4B97-AFAA-A598D143D5C6}">
    <text xml:space="preserve">Benefit - Closely related
Cost - Not related
Somewhat related...null?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4-09-05T19:48:48.95" personId="{F02728BF-49AA-4F91-8913-40F995E48A97}" id="{EE045A36-965C-42D3-96F0-221D53D03531}">
    <text>Add note at end of report related to if want career in blank sector should get blank degree, based on pop data and trends</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4-09-05T19:50:12.54" personId="{F02728BF-49AA-4F91-8913-40F995E48A97}" id="{622F75F7-4C86-44AE-A6B7-501ECFACB6EF}">
    <text>Benefit - pos rela with demos?
Cost - neg rela with demos?
Make comment abt demo trends in degree levels etc.</text>
  </threadedComment>
  <threadedComment ref="O73" dT="2024-10-01T19:43:59.52" personId="{F02728BF-49AA-4F91-8913-40F995E48A97}" id="{11FF1901-09D6-42FF-A335-13350147E865}">
    <text>Start neg</text>
  </threadedComment>
  <threadedComment ref="R73" dT="2024-10-01T19:44:34.94" personId="{F02728BF-49AA-4F91-8913-40F995E48A97}" id="{CDA1860A-218C-4C71-97D0-1B2524B16F7C}">
    <text>Start neg</text>
  </threadedComment>
  <threadedComment ref="W73" dT="2024-10-01T19:49:00.80" personId="{F02728BF-49AA-4F91-8913-40F995E48A97}" id="{332DBA3E-C7FA-4D75-AB1F-1DBC9DF5CF51}">
    <text>Start neg</text>
  </threadedComment>
  <threadedComment ref="X73" dT="2024-10-01T19:49:13.46" personId="{F02728BF-49AA-4F91-8913-40F995E48A97}" id="{C784E1F5-74D2-4294-8BF0-4F6CFC646437}">
    <text>Start neg</text>
  </threadedComment>
  <threadedComment ref="P74" dT="2024-10-01T19:44:11.89" personId="{F02728BF-49AA-4F91-8913-40F995E48A97}" id="{85781A02-2174-4652-A797-FC99665B923B}">
    <text>Start neg</text>
  </threadedComment>
  <threadedComment ref="S74" dT="2024-10-01T19:47:02.90" personId="{F02728BF-49AA-4F91-8913-40F995E48A97}" id="{3DD7250C-878E-488F-8497-56939BF22F8E}">
    <text>Start neg</text>
  </threadedComment>
  <threadedComment ref="N75" dT="2024-10-01T19:43:51.98" personId="{F02728BF-49AA-4F91-8913-40F995E48A97}" id="{06173314-107D-44D0-8E86-BFC850E47F7B}">
    <text xml:space="preserve">Start neg
</text>
  </threadedComment>
  <threadedComment ref="U76" dT="2024-10-01T19:47:30.69" personId="{F02728BF-49AA-4F91-8913-40F995E48A97}" id="{D3ADD3A9-4788-4779-B5C0-FCBF0EA157E8}">
    <text>Start neg</text>
  </threadedComment>
  <threadedComment ref="V77" dT="2024-10-01T19:48:41.29" personId="{F02728BF-49AA-4F91-8913-40F995E48A97}" id="{84D61B15-5A53-4256-9C77-D6925A85C9F9}">
    <text>Start neg</text>
  </threadedComment>
  <threadedComment ref="Q80" dT="2024-10-01T19:44:26.19" personId="{F02728BF-49AA-4F91-8913-40F995E48A97}" id="{E0B15B56-D5C3-45D8-BDEC-1F462AC59096}">
    <text>Start neg</text>
  </threadedComment>
  <threadedComment ref="T85" dT="2024-10-01T19:47:19.87" personId="{F02728BF-49AA-4F91-8913-40F995E48A97}" id="{6159B3E9-D9C7-4526-95D5-0965FCE16A68}">
    <text>Start neg</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4-09-05T19:51:07.54" personId="{F02728BF-49AA-4F91-8913-40F995E48A97}" id="{5BC8FE5E-F499-450A-9CBB-350B45E0841F}">
    <text>Benefit - pos rela with demos?
Cost - neg rela with demos?
Note trends with demos and related degree level</text>
  </threadedComment>
  <threadedComment ref="AG28" dT="2024-10-03T17:58:12.27" personId="{F02728BF-49AA-4F91-8913-40F995E48A97}" id="{B043E75E-9A4A-4629-A6FE-2F40245C752C}">
    <text>Start neg</text>
  </threadedComment>
  <threadedComment ref="AL28" dT="2024-10-03T17:58:22.70" personId="{F02728BF-49AA-4F91-8913-40F995E48A97}" id="{93B6FC70-4B37-4AAF-8890-5012C315EC47}">
    <text>Start neg</text>
  </threadedComment>
  <threadedComment ref="AD29" dT="2024-10-03T18:28:25.49" personId="{F02728BF-49AA-4F91-8913-40F995E48A97}" id="{ADE066DB-8515-4585-9D4B-36D0B8B7DEE9}">
    <text>Start neg</text>
  </threadedComment>
  <threadedComment ref="AJ29" dT="2024-10-03T18:32:39.46" personId="{F02728BF-49AA-4F91-8913-40F995E48A97}" id="{F48D610F-E45B-4DA3-AE4E-DCF6B4D939AF}">
    <text>Start neg</text>
  </threadedComment>
  <threadedComment ref="AN29" dT="2024-10-03T17:58:40.32" personId="{F02728BF-49AA-4F91-8913-40F995E48A97}" id="{F53A5954-B73B-4766-9CF9-AEB286CB7304}">
    <text>Start neg</text>
  </threadedComment>
  <threadedComment ref="AH30" dT="2024-10-03T18:33:26.61" personId="{F02728BF-49AA-4F91-8913-40F995E48A97}" id="{BD16B388-D8EE-4B9D-90EE-A7562934C884}">
    <text>Start neg</text>
  </threadedComment>
  <threadedComment ref="AM31" dT="2024-10-03T17:58:54.25" personId="{F02728BF-49AA-4F91-8913-40F995E48A97}" id="{3A2D927F-3EFC-4FC9-B025-8A95EAD4F91B}">
    <text>Start neg</text>
  </threadedComment>
  <threadedComment ref="AE32" dT="2024-10-03T18:28:40.09" personId="{F02728BF-49AA-4F91-8913-40F995E48A97}" id="{41B9B9E4-7A19-4E98-BED2-BBD26CF801EA}">
    <text>Start neg</text>
  </threadedComment>
  <threadedComment ref="AI34" dT="2024-10-03T18:33:03.95" personId="{F02728BF-49AA-4F91-8913-40F995E48A97}" id="{6ED74F51-22EB-4DF8-8BCC-DEBED4D2BAF4}">
    <text>Start neg</text>
  </threadedComment>
  <threadedComment ref="AF36" dT="2024-10-04T18:09:01.62" personId="{F02728BF-49AA-4F91-8913-40F995E48A97}" id="{C0257F60-28FA-4ACC-99E8-46710C3E89E2}">
    <text>Start neg</text>
  </threadedComment>
  <threadedComment ref="AK36" dT="2024-10-04T18:09:32.50" personId="{F02728BF-49AA-4F91-8913-40F995E48A97}" id="{994C9C97-5E8F-4EF2-BA75-1E5163CFB247}">
    <text>Start neg</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4-09-05T19:53:47.18" personId="{F02728BF-49AA-4F91-8913-40F995E48A97}" id="{46AF5C5B-A566-4A3D-A594-223CD20883D6}">
    <text>b/c on relation to degree?
Note trends on degree level and typical primary work activity</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4-09-05T19:52:48.85" personId="{F02728BF-49AA-4F91-8913-40F995E48A97}" id="{D163C814-3E09-4D10-853E-04EC6FCF3320}">
    <text>Benefit - obtained for personal
Cost - obtained for work
Switch b/c? Note which is most pop to need additional certs/licenses...additional cert/license = cost?</text>
  </threadedComment>
  <threadedComment ref="AC5" dT="2024-09-05T19:53:47.18" personId="{F02728BF-49AA-4F91-8913-40F995E48A97}" id="{7FDE2C46-2716-4053-8C66-856A432B8785}">
    <text>b/c on relation to degree?
Note trends on degree level and typical primary work activity</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4-09-05T19:55:07.93" personId="{F02728BF-49AA-4F91-8913-40F995E48A97}" id="{89562B0C-AF8A-4B9A-9CE8-DCFA35D3A71A}">
    <text xml:space="preserve">Fin data
Note any trends with demos
This is a benefit
Use to make payback period? Break-even analysis?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10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94.xml"/><Relationship Id="rId4" Type="http://schemas.microsoft.com/office/2017/10/relationships/threadedComment" Target="../threadedComments/threadedComment1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10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97.xml"/><Relationship Id="rId1" Type="http://schemas.openxmlformats.org/officeDocument/2006/relationships/printerSettings" Target="../printerSettings/printerSettings1.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0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98.xml"/><Relationship Id="rId4" Type="http://schemas.microsoft.com/office/2017/10/relationships/threadedComment" Target="../threadedComments/threadedComment1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8.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09.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110.xml.rels><?xml version="1.0" encoding="UTF-8" standalone="yes"?>
<Relationships xmlns="http://schemas.openxmlformats.org/package/2006/relationships"><Relationship Id="rId3" Type="http://schemas.openxmlformats.org/officeDocument/2006/relationships/drawing" Target="../drawings/drawing100.xml"/><Relationship Id="rId2" Type="http://schemas.openxmlformats.org/officeDocument/2006/relationships/hyperlink" Target="https://ncses.nsf.gov/indicators" TargetMode="External"/><Relationship Id="rId1" Type="http://schemas.openxmlformats.org/officeDocument/2006/relationships/hyperlink" Target="https://www.nsf.gov/statistics/srvydoctoratework/" TargetMode="Externa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8.xml.rels><?xml version="1.0" encoding="UTF-8" standalone="yes"?>
<Relationships xmlns="http://schemas.openxmlformats.org/package/2006/relationships"><Relationship Id="rId3" Type="http://schemas.openxmlformats.org/officeDocument/2006/relationships/hyperlink" Target="mailto:ncsesweb@nsf.gov" TargetMode="External"/><Relationship Id="rId2" Type="http://schemas.openxmlformats.org/officeDocument/2006/relationships/hyperlink" Target="mailto:lmilan@nsf.gov" TargetMode="External"/><Relationship Id="rId1" Type="http://schemas.openxmlformats.org/officeDocument/2006/relationships/hyperlink" Target="https://ncses.nsf.gov/pubs/nsf23306/" TargetMode="External"/><Relationship Id="rId4" Type="http://schemas.openxmlformats.org/officeDocument/2006/relationships/drawing" Target="../drawings/drawing10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5.xml"/><Relationship Id="rId4" Type="http://schemas.microsoft.com/office/2017/10/relationships/threadedComment" Target="../threadedComments/threadedComment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0.xml"/><Relationship Id="rId4" Type="http://schemas.microsoft.com/office/2017/10/relationships/threadedComment" Target="../threadedComments/threadedComment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7.xml"/><Relationship Id="rId4" Type="http://schemas.microsoft.com/office/2017/10/relationships/threadedComment" Target="../threadedComments/threadedComment5.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8.xml"/><Relationship Id="rId4" Type="http://schemas.microsoft.com/office/2017/10/relationships/threadedComment" Target="../threadedComments/threadedComment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1.xml"/><Relationship Id="rId4" Type="http://schemas.microsoft.com/office/2017/10/relationships/threadedComment" Target="../threadedComments/threadedComment7.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5.xml"/><Relationship Id="rId4" Type="http://schemas.microsoft.com/office/2017/10/relationships/threadedComment" Target="../threadedComments/threadedComment8.xml"/></Relationships>
</file>

<file path=xl/worksheets/_rels/sheet8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76.xml"/><Relationship Id="rId4" Type="http://schemas.microsoft.com/office/2017/10/relationships/threadedComment" Target="../threadedComments/threadedComment9.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9.xml"/><Relationship Id="rId4" Type="http://schemas.microsoft.com/office/2017/10/relationships/threadedComment" Target="../threadedComments/threadedComment10.xml"/></Relationships>
</file>

<file path=xl/worksheets/_rels/sheet8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80.xml"/><Relationship Id="rId4" Type="http://schemas.microsoft.com/office/2017/10/relationships/threadedComment" Target="../threadedComments/threadedComment11.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B98"/>
  <sheetViews>
    <sheetView workbookViewId="0"/>
  </sheetViews>
  <sheetFormatPr defaultRowHeight="13.2"/>
  <cols>
    <col min="1" max="1" width="32" customWidth="1"/>
    <col min="2" max="2" width="110.44140625" customWidth="1"/>
  </cols>
  <sheetData>
    <row r="1" spans="1:2" ht="394.5" customHeight="1">
      <c r="A1" s="1" t="s">
        <v>0</v>
      </c>
      <c r="B1" s="2" t="s">
        <v>1</v>
      </c>
    </row>
    <row r="2" spans="1:2" ht="153.75" customHeight="1">
      <c r="A2" s="308" t="s">
        <v>2</v>
      </c>
      <c r="B2" s="308"/>
    </row>
    <row r="3" spans="1:2" ht="15" customHeight="1">
      <c r="A3" s="309" t="s">
        <v>3</v>
      </c>
      <c r="B3" s="309"/>
    </row>
    <row r="4" spans="1:2" ht="15" customHeight="1">
      <c r="A4" s="309" t="s">
        <v>4</v>
      </c>
      <c r="B4" s="309"/>
    </row>
    <row r="5" spans="1:2" ht="15" customHeight="1">
      <c r="A5" s="309" t="s">
        <v>5</v>
      </c>
      <c r="B5" s="309"/>
    </row>
    <row r="6" spans="1:2" ht="15" customHeight="1">
      <c r="A6" s="309" t="s">
        <v>6</v>
      </c>
      <c r="B6" s="309"/>
    </row>
    <row r="7" spans="1:2" ht="15" customHeight="1">
      <c r="A7" s="309" t="s">
        <v>7</v>
      </c>
      <c r="B7" s="309"/>
    </row>
    <row r="8" spans="1:2" ht="15" customHeight="1">
      <c r="A8" s="309" t="s">
        <v>8</v>
      </c>
      <c r="B8" s="309"/>
    </row>
    <row r="9" spans="1:2" ht="15" customHeight="1">
      <c r="A9" s="309" t="s">
        <v>9</v>
      </c>
      <c r="B9" s="309"/>
    </row>
    <row r="10" spans="1:2" ht="3" customHeight="1"/>
    <row r="11" spans="1:2" ht="1.2" customHeight="1"/>
    <row r="12" spans="1:2" ht="1.2" customHeight="1"/>
    <row r="13" spans="1:2" ht="1.2" customHeight="1"/>
    <row r="14" spans="1:2" ht="1.2" customHeight="1"/>
    <row r="15" spans="1:2" ht="1.2" customHeight="1"/>
    <row r="16" spans="1:2" ht="1.2" customHeight="1"/>
    <row r="17" spans="1:2" ht="1.2" customHeight="1"/>
    <row r="18" spans="1:2" ht="23.25" customHeight="1">
      <c r="A18" s="310" t="s">
        <v>10</v>
      </c>
      <c r="B18" s="310"/>
    </row>
    <row r="19" spans="1:2" ht="75.45" customHeight="1">
      <c r="A19" s="311" t="s">
        <v>11</v>
      </c>
      <c r="B19" s="311"/>
    </row>
    <row r="20" spans="1:2" ht="3" customHeight="1"/>
    <row r="21" spans="1:2" ht="23.25" customHeight="1">
      <c r="A21" s="310" t="s">
        <v>12</v>
      </c>
      <c r="B21" s="310"/>
    </row>
    <row r="22" spans="1:2" ht="19.5" customHeight="1">
      <c r="A22" s="312" t="s">
        <v>13</v>
      </c>
      <c r="B22" s="312"/>
    </row>
    <row r="23" spans="1:2" ht="11.25" customHeight="1">
      <c r="A23" s="313" t="s">
        <v>14</v>
      </c>
      <c r="B23" s="313"/>
    </row>
    <row r="24" spans="1:2" ht="14.25" customHeight="1">
      <c r="A24" s="314" t="s">
        <v>15</v>
      </c>
      <c r="B24" s="314"/>
    </row>
    <row r="25" spans="1:2" ht="28.5" customHeight="1">
      <c r="A25" s="314" t="s">
        <v>16</v>
      </c>
      <c r="B25" s="314"/>
    </row>
    <row r="26" spans="1:2" ht="28.5" customHeight="1">
      <c r="A26" s="314" t="s">
        <v>17</v>
      </c>
      <c r="B26" s="314"/>
    </row>
    <row r="27" spans="1:2" ht="28.5" customHeight="1">
      <c r="A27" s="314" t="s">
        <v>18</v>
      </c>
      <c r="B27" s="314"/>
    </row>
    <row r="28" spans="1:2" ht="28.5" customHeight="1">
      <c r="A28" s="314" t="s">
        <v>19</v>
      </c>
      <c r="B28" s="314"/>
    </row>
    <row r="29" spans="1:2" ht="19.5" customHeight="1">
      <c r="A29" s="312" t="s">
        <v>20</v>
      </c>
      <c r="B29" s="312"/>
    </row>
    <row r="30" spans="1:2" ht="11.25" customHeight="1">
      <c r="A30" s="313" t="s">
        <v>14</v>
      </c>
      <c r="B30" s="313"/>
    </row>
    <row r="31" spans="1:2" ht="28.5" customHeight="1">
      <c r="A31" s="314" t="s">
        <v>21</v>
      </c>
      <c r="B31" s="314"/>
    </row>
    <row r="32" spans="1:2" ht="14.25" customHeight="1">
      <c r="A32" s="314" t="s">
        <v>22</v>
      </c>
      <c r="B32" s="314"/>
    </row>
    <row r="33" spans="1:2" ht="28.5" customHeight="1">
      <c r="A33" s="314" t="s">
        <v>23</v>
      </c>
      <c r="B33" s="314"/>
    </row>
    <row r="34" spans="1:2" ht="14.25" customHeight="1">
      <c r="A34" s="314" t="s">
        <v>24</v>
      </c>
      <c r="B34" s="314"/>
    </row>
    <row r="35" spans="1:2" ht="28.5" customHeight="1">
      <c r="A35" s="314" t="s">
        <v>25</v>
      </c>
      <c r="B35" s="314"/>
    </row>
    <row r="36" spans="1:2" ht="28.5" customHeight="1">
      <c r="A36" s="314" t="s">
        <v>26</v>
      </c>
      <c r="B36" s="314"/>
    </row>
    <row r="37" spans="1:2" ht="19.5" customHeight="1">
      <c r="A37" s="312" t="s">
        <v>27</v>
      </c>
      <c r="B37" s="312"/>
    </row>
    <row r="38" spans="1:2" ht="11.25" customHeight="1">
      <c r="A38" s="313" t="s">
        <v>14</v>
      </c>
      <c r="B38" s="313"/>
    </row>
    <row r="39" spans="1:2" ht="14.25" customHeight="1">
      <c r="A39" s="314" t="s">
        <v>28</v>
      </c>
      <c r="B39" s="314"/>
    </row>
    <row r="40" spans="1:2" ht="14.25" customHeight="1">
      <c r="A40" s="314" t="s">
        <v>29</v>
      </c>
      <c r="B40" s="314"/>
    </row>
    <row r="41" spans="1:2" ht="3" customHeight="1"/>
    <row r="42" spans="1:2" ht="1.2" customHeight="1"/>
    <row r="43" spans="1:2" ht="1.2" customHeight="1"/>
    <row r="44" spans="1:2" ht="1.2" customHeight="1"/>
    <row r="45" spans="1:2" ht="1.2" customHeight="1"/>
    <row r="46" spans="1:2" ht="1.2" customHeight="1"/>
    <row r="47" spans="1:2" ht="1.2" customHeight="1"/>
    <row r="48" spans="1:2" ht="1.2" customHeight="1"/>
    <row r="49" spans="1:2" ht="1.2" customHeight="1"/>
    <row r="50" spans="1:2" ht="1.2" customHeight="1"/>
    <row r="51" spans="1:2" ht="1.2" customHeight="1"/>
    <row r="52" spans="1:2" ht="1.2" customHeight="1"/>
    <row r="53" spans="1:2" ht="1.2" customHeight="1"/>
    <row r="54" spans="1:2" ht="1.2" customHeight="1"/>
    <row r="55" spans="1:2" ht="1.2" customHeight="1"/>
    <row r="56" spans="1:2" ht="1.2" customHeight="1"/>
    <row r="57" spans="1:2" ht="1.2" customHeight="1"/>
    <row r="58" spans="1:2" ht="11.25" customHeight="1">
      <c r="A58" s="313" t="s">
        <v>14</v>
      </c>
      <c r="B58" s="313"/>
    </row>
    <row r="59" spans="1:2" ht="14.25" customHeight="1">
      <c r="A59" s="314" t="s">
        <v>30</v>
      </c>
      <c r="B59" s="314"/>
    </row>
    <row r="60" spans="1:2" ht="14.25" customHeight="1">
      <c r="A60" s="314" t="s">
        <v>31</v>
      </c>
      <c r="B60" s="314"/>
    </row>
    <row r="61" spans="1:2" ht="19.5" customHeight="1">
      <c r="A61" s="312" t="s">
        <v>32</v>
      </c>
      <c r="B61" s="312"/>
    </row>
    <row r="62" spans="1:2" ht="11.25" customHeight="1">
      <c r="A62" s="313" t="s">
        <v>14</v>
      </c>
      <c r="B62" s="313"/>
    </row>
    <row r="63" spans="1:2" ht="28.5" customHeight="1">
      <c r="A63" s="314" t="s">
        <v>33</v>
      </c>
      <c r="B63" s="314"/>
    </row>
    <row r="64" spans="1:2" ht="28.5" customHeight="1">
      <c r="A64" s="314" t="s">
        <v>34</v>
      </c>
      <c r="B64" s="314"/>
    </row>
    <row r="65" spans="1:2" ht="28.5" customHeight="1">
      <c r="A65" s="314" t="s">
        <v>35</v>
      </c>
      <c r="B65" s="314"/>
    </row>
    <row r="66" spans="1:2" ht="19.5" customHeight="1">
      <c r="A66" s="312" t="s">
        <v>36</v>
      </c>
      <c r="B66" s="312"/>
    </row>
    <row r="67" spans="1:2" ht="11.25" customHeight="1">
      <c r="A67" s="313" t="s">
        <v>14</v>
      </c>
      <c r="B67" s="313"/>
    </row>
    <row r="68" spans="1:2" ht="28.5" customHeight="1">
      <c r="A68" s="314" t="s">
        <v>37</v>
      </c>
      <c r="B68" s="314"/>
    </row>
    <row r="69" spans="1:2" ht="28.5" customHeight="1">
      <c r="A69" s="314" t="s">
        <v>38</v>
      </c>
      <c r="B69" s="314"/>
    </row>
    <row r="70" spans="1:2" ht="28.5" customHeight="1">
      <c r="A70" s="314" t="s">
        <v>39</v>
      </c>
      <c r="B70" s="314"/>
    </row>
    <row r="71" spans="1:2" ht="28.5" customHeight="1">
      <c r="A71" s="314" t="s">
        <v>40</v>
      </c>
      <c r="B71" s="314"/>
    </row>
    <row r="72" spans="1:2" ht="14.25" customHeight="1">
      <c r="A72" s="314" t="s">
        <v>41</v>
      </c>
      <c r="B72" s="314"/>
    </row>
    <row r="73" spans="1:2" ht="19.5" customHeight="1">
      <c r="A73" s="312" t="s">
        <v>42</v>
      </c>
      <c r="B73" s="312"/>
    </row>
    <row r="74" spans="1:2" ht="11.25" customHeight="1">
      <c r="A74" s="313" t="s">
        <v>14</v>
      </c>
      <c r="B74" s="313"/>
    </row>
    <row r="75" spans="1:2" ht="14.25" customHeight="1">
      <c r="A75" s="314" t="s">
        <v>43</v>
      </c>
      <c r="B75" s="314"/>
    </row>
    <row r="76" spans="1:2" ht="14.25" customHeight="1">
      <c r="A76" s="314" t="s">
        <v>44</v>
      </c>
      <c r="B76" s="314"/>
    </row>
    <row r="77" spans="1:2" ht="14.25" customHeight="1">
      <c r="A77" s="314" t="s">
        <v>45</v>
      </c>
      <c r="B77" s="314"/>
    </row>
    <row r="78" spans="1:2" ht="1.2" customHeight="1"/>
    <row r="79" spans="1:2" ht="1.2" customHeight="1"/>
    <row r="80" spans="1:2" ht="1.2" customHeight="1"/>
    <row r="81" spans="1:2" ht="1.2" customHeight="1"/>
    <row r="82" spans="1:2" ht="1.2" customHeight="1"/>
    <row r="83" spans="1:2" ht="1.2" customHeight="1"/>
    <row r="84" spans="1:2" ht="1.2" customHeight="1"/>
    <row r="85" spans="1:2" ht="1.2" customHeight="1"/>
    <row r="86" spans="1:2" ht="1.2" customHeight="1"/>
    <row r="87" spans="1:2" ht="1.2" customHeight="1"/>
    <row r="88" spans="1:2" ht="1.2" customHeight="1"/>
    <row r="89" spans="1:2" ht="1.2" customHeight="1"/>
    <row r="90" spans="1:2" ht="1.2" customHeight="1"/>
    <row r="91" spans="1:2" ht="1.2" customHeight="1"/>
    <row r="92" spans="1:2" ht="1.2" customHeight="1"/>
    <row r="93" spans="1:2" ht="1.2" customHeight="1"/>
    <row r="94" spans="1:2" ht="1.2" customHeight="1"/>
    <row r="95" spans="1:2" ht="11.25" customHeight="1">
      <c r="A95" s="313" t="s">
        <v>14</v>
      </c>
      <c r="B95" s="313"/>
    </row>
    <row r="96" spans="1:2" ht="14.25" customHeight="1">
      <c r="A96" s="314" t="s">
        <v>46</v>
      </c>
      <c r="B96" s="314"/>
    </row>
    <row r="97" ht="1.2" customHeight="1"/>
    <row r="98" ht="1.2" customHeight="1"/>
  </sheetData>
  <mergeCells count="52">
    <mergeCell ref="A95:B95"/>
    <mergeCell ref="A96:B96"/>
    <mergeCell ref="A73:B73"/>
    <mergeCell ref="A74:B74"/>
    <mergeCell ref="A75:B75"/>
    <mergeCell ref="A76:B76"/>
    <mergeCell ref="A77:B77"/>
    <mergeCell ref="A68:B68"/>
    <mergeCell ref="A69:B69"/>
    <mergeCell ref="A70:B70"/>
    <mergeCell ref="A71:B71"/>
    <mergeCell ref="A72:B72"/>
    <mergeCell ref="A63:B63"/>
    <mergeCell ref="A64:B64"/>
    <mergeCell ref="A65:B65"/>
    <mergeCell ref="A66:B66"/>
    <mergeCell ref="A67:B67"/>
    <mergeCell ref="A58:B58"/>
    <mergeCell ref="A59:B59"/>
    <mergeCell ref="A60:B60"/>
    <mergeCell ref="A61:B61"/>
    <mergeCell ref="A62:B62"/>
    <mergeCell ref="A36:B36"/>
    <mergeCell ref="A37:B37"/>
    <mergeCell ref="A38:B38"/>
    <mergeCell ref="A39:B39"/>
    <mergeCell ref="A40:B40"/>
    <mergeCell ref="A31:B31"/>
    <mergeCell ref="A32:B32"/>
    <mergeCell ref="A33:B33"/>
    <mergeCell ref="A34:B34"/>
    <mergeCell ref="A35:B35"/>
    <mergeCell ref="A26:B26"/>
    <mergeCell ref="A27:B27"/>
    <mergeCell ref="A28:B28"/>
    <mergeCell ref="A29:B29"/>
    <mergeCell ref="A30:B30"/>
    <mergeCell ref="A21:B21"/>
    <mergeCell ref="A22:B22"/>
    <mergeCell ref="A23:B23"/>
    <mergeCell ref="A24:B24"/>
    <mergeCell ref="A25:B25"/>
    <mergeCell ref="A7:B7"/>
    <mergeCell ref="A8:B8"/>
    <mergeCell ref="A9:B9"/>
    <mergeCell ref="A18:B18"/>
    <mergeCell ref="A19:B19"/>
    <mergeCell ref="A2:B2"/>
    <mergeCell ref="A3:B3"/>
    <mergeCell ref="A4:B4"/>
    <mergeCell ref="A5:B5"/>
    <mergeCell ref="A6:B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16B0-34EE-4434-A20F-CEE1DB892A7D}">
  <dimension ref="A1:K1"/>
  <sheetViews>
    <sheetView workbookViewId="0">
      <selection activeCell="AA8" sqref="AA8"/>
    </sheetView>
  </sheetViews>
  <sheetFormatPr defaultRowHeight="13.2"/>
  <sheetData>
    <row r="1" spans="1:11">
      <c r="A1" s="319" t="s">
        <v>60</v>
      </c>
      <c r="B1" s="320"/>
      <c r="C1" s="320"/>
      <c r="D1" s="320"/>
      <c r="G1" s="319" t="s">
        <v>61</v>
      </c>
      <c r="H1" s="320"/>
      <c r="I1" s="320"/>
      <c r="J1" s="320"/>
      <c r="K1" s="320"/>
    </row>
  </sheetData>
  <mergeCells count="2">
    <mergeCell ref="A1:D1"/>
    <mergeCell ref="G1:K1"/>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14" t="s">
        <v>265</v>
      </c>
      <c r="B4" s="7">
        <v>847000</v>
      </c>
      <c r="C4" s="7">
        <v>1365000</v>
      </c>
      <c r="D4" s="7">
        <v>1566000</v>
      </c>
      <c r="E4" s="7">
        <v>1741000</v>
      </c>
      <c r="F4" s="7">
        <v>1889000</v>
      </c>
      <c r="G4" s="7">
        <v>2135000</v>
      </c>
      <c r="H4" s="7">
        <v>2401000</v>
      </c>
    </row>
    <row r="5" spans="1:9" ht="12.45" customHeight="1">
      <c r="A5" s="12" t="s">
        <v>174</v>
      </c>
      <c r="B5" s="9">
        <v>142000</v>
      </c>
      <c r="C5" s="9">
        <v>191000</v>
      </c>
      <c r="D5" s="9">
        <v>237000</v>
      </c>
      <c r="E5" s="9">
        <v>270000</v>
      </c>
      <c r="F5" s="9">
        <v>351000</v>
      </c>
      <c r="G5" s="9">
        <v>382000</v>
      </c>
      <c r="H5" s="9">
        <v>485000</v>
      </c>
    </row>
    <row r="6" spans="1:9" ht="12.45" customHeight="1">
      <c r="A6" s="13" t="s">
        <v>227</v>
      </c>
      <c r="B6" s="9">
        <v>9000</v>
      </c>
      <c r="C6" s="9">
        <v>13000</v>
      </c>
      <c r="D6" s="9">
        <v>17000</v>
      </c>
      <c r="E6" s="9">
        <v>18000</v>
      </c>
      <c r="F6" s="9">
        <v>14000</v>
      </c>
      <c r="G6" s="9">
        <v>30000</v>
      </c>
      <c r="H6" s="9">
        <v>37000</v>
      </c>
    </row>
    <row r="7" spans="1:9" ht="12.45" customHeight="1">
      <c r="A7" s="15" t="s">
        <v>228</v>
      </c>
      <c r="B7" s="9">
        <v>54000</v>
      </c>
      <c r="C7" s="9">
        <v>73000</v>
      </c>
      <c r="D7" s="9">
        <v>107000</v>
      </c>
      <c r="E7" s="9">
        <v>120000</v>
      </c>
      <c r="F7" s="9">
        <v>151000</v>
      </c>
      <c r="G7" s="9">
        <v>189000</v>
      </c>
      <c r="H7" s="9">
        <v>254000</v>
      </c>
    </row>
    <row r="8" spans="1:9" ht="12.45" customHeight="1">
      <c r="A8" s="15" t="s">
        <v>229</v>
      </c>
      <c r="B8" s="9">
        <v>8000</v>
      </c>
      <c r="C8" s="9">
        <v>7000</v>
      </c>
      <c r="D8" s="9">
        <v>11000</v>
      </c>
      <c r="E8" s="9">
        <v>10000</v>
      </c>
      <c r="F8" s="9">
        <v>19000</v>
      </c>
      <c r="G8" s="9">
        <v>17000</v>
      </c>
      <c r="H8" s="9">
        <v>21000</v>
      </c>
    </row>
    <row r="9" spans="1:9" ht="12.45" customHeight="1">
      <c r="A9" s="15" t="s">
        <v>230</v>
      </c>
      <c r="B9" s="9">
        <v>9000</v>
      </c>
      <c r="C9" s="9">
        <v>13000</v>
      </c>
      <c r="D9" s="9">
        <v>16000</v>
      </c>
      <c r="E9" s="9">
        <v>19000</v>
      </c>
      <c r="F9" s="13" t="s">
        <v>191</v>
      </c>
      <c r="G9" s="9">
        <v>19000</v>
      </c>
      <c r="H9" s="9">
        <v>28000</v>
      </c>
    </row>
    <row r="10" spans="1:9" ht="12.45" customHeight="1">
      <c r="A10" s="15" t="s">
        <v>231</v>
      </c>
      <c r="B10" s="9">
        <v>63000</v>
      </c>
      <c r="C10" s="9">
        <v>85000</v>
      </c>
      <c r="D10" s="9">
        <v>86000</v>
      </c>
      <c r="E10" s="9">
        <v>103000</v>
      </c>
      <c r="F10" s="9">
        <v>118000</v>
      </c>
      <c r="G10" s="9">
        <v>128000</v>
      </c>
      <c r="H10" s="9">
        <v>145000</v>
      </c>
    </row>
    <row r="11" spans="1:9" ht="12.45" customHeight="1">
      <c r="A11" s="12" t="s">
        <v>175</v>
      </c>
      <c r="B11" s="9">
        <v>130000</v>
      </c>
      <c r="C11" s="9">
        <v>179000</v>
      </c>
      <c r="D11" s="9">
        <v>249000</v>
      </c>
      <c r="E11" s="9">
        <v>257000</v>
      </c>
      <c r="F11" s="9">
        <v>275000</v>
      </c>
      <c r="G11" s="9">
        <v>328000</v>
      </c>
      <c r="H11" s="9">
        <v>307000</v>
      </c>
    </row>
    <row r="12" spans="1:9" ht="12.45" customHeight="1">
      <c r="A12" s="12" t="s">
        <v>176</v>
      </c>
      <c r="B12" s="9">
        <v>576000</v>
      </c>
      <c r="C12" s="9">
        <v>995000</v>
      </c>
      <c r="D12" s="9">
        <v>1080000</v>
      </c>
      <c r="E12" s="9">
        <v>1214000</v>
      </c>
      <c r="F12" s="9">
        <v>1263000</v>
      </c>
      <c r="G12" s="9">
        <v>1424000</v>
      </c>
      <c r="H12" s="9">
        <v>1608000</v>
      </c>
    </row>
    <row r="13" spans="1:9" ht="12.45" customHeight="1">
      <c r="A13" s="10" t="s">
        <v>270</v>
      </c>
      <c r="B13" s="9">
        <v>61000</v>
      </c>
      <c r="C13" s="9">
        <v>68000</v>
      </c>
      <c r="D13" s="9">
        <v>65000</v>
      </c>
      <c r="E13" s="9">
        <v>55000</v>
      </c>
      <c r="F13" s="9">
        <v>53000</v>
      </c>
      <c r="G13" s="9">
        <v>62000</v>
      </c>
      <c r="H13" s="9">
        <v>55000</v>
      </c>
    </row>
    <row r="14" spans="1:9" ht="12.45" customHeight="1">
      <c r="A14" s="12" t="s">
        <v>174</v>
      </c>
      <c r="B14" s="9">
        <v>10000</v>
      </c>
      <c r="C14" s="9">
        <v>7000</v>
      </c>
      <c r="D14" s="9">
        <v>7000</v>
      </c>
      <c r="E14" s="9">
        <v>9000</v>
      </c>
      <c r="F14" s="9">
        <v>9000</v>
      </c>
      <c r="G14" s="13" t="s">
        <v>191</v>
      </c>
      <c r="H14" s="9">
        <v>7000</v>
      </c>
    </row>
    <row r="15" spans="1:9" ht="12.45" customHeight="1">
      <c r="A15" s="13" t="s">
        <v>227</v>
      </c>
      <c r="B15" s="9">
        <v>3000</v>
      </c>
      <c r="C15" s="13" t="s">
        <v>222</v>
      </c>
      <c r="D15" s="9">
        <v>1000</v>
      </c>
      <c r="E15" s="9">
        <v>2000</v>
      </c>
      <c r="F15" s="13" t="s">
        <v>222</v>
      </c>
      <c r="G15" s="13" t="s">
        <v>191</v>
      </c>
      <c r="H15" s="13" t="s">
        <v>220</v>
      </c>
    </row>
    <row r="16" spans="1:9" ht="12.45" customHeight="1">
      <c r="A16" s="15" t="s">
        <v>228</v>
      </c>
      <c r="B16" s="9">
        <v>2000</v>
      </c>
      <c r="C16" s="9">
        <v>2000</v>
      </c>
      <c r="D16" s="9">
        <v>1000</v>
      </c>
      <c r="E16" s="9">
        <v>1000</v>
      </c>
      <c r="F16" s="13" t="s">
        <v>191</v>
      </c>
      <c r="G16" s="13" t="s">
        <v>191</v>
      </c>
      <c r="H16" s="13" t="s">
        <v>191</v>
      </c>
    </row>
    <row r="17" spans="1:8" ht="12.45" customHeight="1">
      <c r="A17" s="15" t="s">
        <v>229</v>
      </c>
      <c r="B17" s="13" t="s">
        <v>220</v>
      </c>
      <c r="C17" s="13" t="s">
        <v>191</v>
      </c>
      <c r="D17" s="13" t="s">
        <v>222</v>
      </c>
      <c r="E17" s="13" t="s">
        <v>222</v>
      </c>
      <c r="F17" s="13" t="s">
        <v>191</v>
      </c>
      <c r="G17" s="9">
        <v>1000</v>
      </c>
      <c r="H17" s="9">
        <v>1000</v>
      </c>
    </row>
    <row r="18" spans="1:8" ht="12.45" customHeight="1">
      <c r="A18" s="15" t="s">
        <v>230</v>
      </c>
      <c r="B18" s="13" t="s">
        <v>191</v>
      </c>
      <c r="C18" s="13" t="s">
        <v>220</v>
      </c>
      <c r="D18" s="9">
        <v>2000</v>
      </c>
      <c r="E18" s="13" t="s">
        <v>191</v>
      </c>
      <c r="F18" s="13" t="s">
        <v>191</v>
      </c>
      <c r="G18" s="13" t="s">
        <v>191</v>
      </c>
      <c r="H18" s="13" t="s">
        <v>222</v>
      </c>
    </row>
    <row r="19" spans="1:8" ht="12.45" customHeight="1">
      <c r="A19" s="15" t="s">
        <v>231</v>
      </c>
      <c r="B19" s="9">
        <v>3000</v>
      </c>
      <c r="C19" s="9">
        <v>4000</v>
      </c>
      <c r="D19" s="9">
        <v>3000</v>
      </c>
      <c r="E19" s="9">
        <v>4000</v>
      </c>
      <c r="F19" s="9">
        <v>3000</v>
      </c>
      <c r="G19" s="9">
        <v>3000</v>
      </c>
      <c r="H19" s="9">
        <v>2000</v>
      </c>
    </row>
    <row r="20" spans="1:8" ht="12.45" customHeight="1">
      <c r="A20" s="12" t="s">
        <v>175</v>
      </c>
      <c r="B20" s="9">
        <v>8000</v>
      </c>
      <c r="C20" s="9">
        <v>9000</v>
      </c>
      <c r="D20" s="9">
        <v>10000</v>
      </c>
      <c r="E20" s="9">
        <v>9000</v>
      </c>
      <c r="F20" s="9">
        <v>12000</v>
      </c>
      <c r="G20" s="9">
        <v>14000</v>
      </c>
      <c r="H20" s="9">
        <v>5000</v>
      </c>
    </row>
    <row r="21" spans="1:8" ht="12.45" customHeight="1">
      <c r="A21" s="12" t="s">
        <v>176</v>
      </c>
      <c r="B21" s="9">
        <v>43000</v>
      </c>
      <c r="C21" s="9">
        <v>52000</v>
      </c>
      <c r="D21" s="9">
        <v>48000</v>
      </c>
      <c r="E21" s="9">
        <v>37000</v>
      </c>
      <c r="F21" s="9">
        <v>32000</v>
      </c>
      <c r="G21" s="9">
        <v>31000</v>
      </c>
      <c r="H21" s="9">
        <v>43000</v>
      </c>
    </row>
    <row r="22" spans="1:8" ht="12.45" customHeight="1">
      <c r="A22" s="10" t="s">
        <v>271</v>
      </c>
      <c r="B22" s="9">
        <v>1223000</v>
      </c>
      <c r="C22" s="9">
        <v>1852000</v>
      </c>
      <c r="D22" s="9">
        <v>1984000</v>
      </c>
      <c r="E22" s="9">
        <v>2118000</v>
      </c>
      <c r="F22" s="9">
        <v>2357000</v>
      </c>
      <c r="G22" s="9">
        <v>2605000</v>
      </c>
      <c r="H22" s="9">
        <v>2793000</v>
      </c>
    </row>
    <row r="23" spans="1:8" ht="12.45" customHeight="1">
      <c r="A23" s="12" t="s">
        <v>174</v>
      </c>
      <c r="B23" s="9">
        <v>457000</v>
      </c>
      <c r="C23" s="9">
        <v>708000</v>
      </c>
      <c r="D23" s="9">
        <v>702000</v>
      </c>
      <c r="E23" s="9">
        <v>904000</v>
      </c>
      <c r="F23" s="9">
        <v>929000</v>
      </c>
      <c r="G23" s="9">
        <v>1055000</v>
      </c>
      <c r="H23" s="9">
        <v>1154000</v>
      </c>
    </row>
    <row r="24" spans="1:8" ht="12.45" customHeight="1">
      <c r="A24" s="13" t="s">
        <v>227</v>
      </c>
      <c r="B24" s="9">
        <v>37000</v>
      </c>
      <c r="C24" s="9">
        <v>50000</v>
      </c>
      <c r="D24" s="9">
        <v>54000</v>
      </c>
      <c r="E24" s="9">
        <v>57000</v>
      </c>
      <c r="F24" s="9">
        <v>70000</v>
      </c>
      <c r="G24" s="9">
        <v>86000</v>
      </c>
      <c r="H24" s="9">
        <v>88000</v>
      </c>
    </row>
    <row r="25" spans="1:8" ht="12.45" customHeight="1">
      <c r="A25" s="15" t="s">
        <v>228</v>
      </c>
      <c r="B25" s="9">
        <v>238000</v>
      </c>
      <c r="C25" s="9">
        <v>412000</v>
      </c>
      <c r="D25" s="9">
        <v>417000</v>
      </c>
      <c r="E25" s="9">
        <v>541000</v>
      </c>
      <c r="F25" s="9">
        <v>583000</v>
      </c>
      <c r="G25" s="9">
        <v>648000</v>
      </c>
      <c r="H25" s="9">
        <v>749000</v>
      </c>
    </row>
    <row r="26" spans="1:8" ht="12.45" customHeight="1">
      <c r="A26" s="15" t="s">
        <v>229</v>
      </c>
      <c r="B26" s="9">
        <v>23000</v>
      </c>
      <c r="C26" s="9">
        <v>27000</v>
      </c>
      <c r="D26" s="9">
        <v>33000</v>
      </c>
      <c r="E26" s="9">
        <v>48000</v>
      </c>
      <c r="F26" s="9">
        <v>35000</v>
      </c>
      <c r="G26" s="9">
        <v>40000</v>
      </c>
      <c r="H26" s="9">
        <v>42000</v>
      </c>
    </row>
    <row r="27" spans="1:8" ht="12.45" customHeight="1">
      <c r="A27" s="15" t="s">
        <v>230</v>
      </c>
      <c r="B27" s="9">
        <v>13000</v>
      </c>
      <c r="C27" s="9">
        <v>13000</v>
      </c>
      <c r="D27" s="9">
        <v>17000</v>
      </c>
      <c r="E27" s="9">
        <v>19000</v>
      </c>
      <c r="F27" s="9">
        <v>12000</v>
      </c>
      <c r="G27" s="9">
        <v>14000</v>
      </c>
      <c r="H27" s="9">
        <v>25000</v>
      </c>
    </row>
    <row r="28" spans="1:8" ht="12.45" customHeight="1">
      <c r="A28" s="15" t="s">
        <v>231</v>
      </c>
      <c r="B28" s="9">
        <v>146000</v>
      </c>
      <c r="C28" s="9">
        <v>205000</v>
      </c>
      <c r="D28" s="9">
        <v>181000</v>
      </c>
      <c r="E28" s="9">
        <v>239000</v>
      </c>
      <c r="F28" s="9">
        <v>228000</v>
      </c>
      <c r="G28" s="9">
        <v>268000</v>
      </c>
      <c r="H28" s="9">
        <v>250000</v>
      </c>
    </row>
    <row r="29" spans="1:8" ht="12.45" customHeight="1">
      <c r="A29" s="12" t="s">
        <v>175</v>
      </c>
      <c r="B29" s="9">
        <v>218000</v>
      </c>
      <c r="C29" s="9">
        <v>414000</v>
      </c>
      <c r="D29" s="9">
        <v>472000</v>
      </c>
      <c r="E29" s="9">
        <v>404000</v>
      </c>
      <c r="F29" s="9">
        <v>505000</v>
      </c>
      <c r="G29" s="9">
        <v>525000</v>
      </c>
      <c r="H29" s="9">
        <v>608000</v>
      </c>
    </row>
    <row r="30" spans="1:8" ht="12.45" customHeight="1">
      <c r="A30" s="12" t="s">
        <v>176</v>
      </c>
      <c r="B30" s="9">
        <v>548000</v>
      </c>
      <c r="C30" s="9">
        <v>729000</v>
      </c>
      <c r="D30" s="9">
        <v>809000</v>
      </c>
      <c r="E30" s="9">
        <v>811000</v>
      </c>
      <c r="F30" s="9">
        <v>923000</v>
      </c>
      <c r="G30" s="9">
        <v>1025000</v>
      </c>
      <c r="H30" s="9">
        <v>1031000</v>
      </c>
    </row>
    <row r="31" spans="1:8" ht="12.45" customHeight="1">
      <c r="A31" s="10" t="s">
        <v>272</v>
      </c>
      <c r="B31" s="9">
        <v>847000</v>
      </c>
      <c r="C31" s="9">
        <v>1131000</v>
      </c>
      <c r="D31" s="9">
        <v>1275000</v>
      </c>
      <c r="E31" s="9">
        <v>1358000</v>
      </c>
      <c r="F31" s="9">
        <v>1513000</v>
      </c>
      <c r="G31" s="9">
        <v>1551000</v>
      </c>
      <c r="H31" s="9">
        <v>1677000</v>
      </c>
    </row>
    <row r="32" spans="1:8" ht="12.45" customHeight="1">
      <c r="A32" s="12" t="s">
        <v>174</v>
      </c>
      <c r="B32" s="9">
        <v>119000</v>
      </c>
      <c r="C32" s="9">
        <v>143000</v>
      </c>
      <c r="D32" s="9">
        <v>165000</v>
      </c>
      <c r="E32" s="9">
        <v>204000</v>
      </c>
      <c r="F32" s="9">
        <v>214000</v>
      </c>
      <c r="G32" s="9">
        <v>244000</v>
      </c>
      <c r="H32" s="9">
        <v>255000</v>
      </c>
    </row>
    <row r="33" spans="1:8" ht="12.45" customHeight="1">
      <c r="A33" s="13" t="s">
        <v>227</v>
      </c>
      <c r="B33" s="9">
        <v>7000</v>
      </c>
      <c r="C33" s="9">
        <v>11000</v>
      </c>
      <c r="D33" s="9">
        <v>8000</v>
      </c>
      <c r="E33" s="9">
        <v>7000</v>
      </c>
      <c r="F33" s="9">
        <v>10000</v>
      </c>
      <c r="G33" s="9">
        <v>11000</v>
      </c>
      <c r="H33" s="9">
        <v>12000</v>
      </c>
    </row>
    <row r="34" spans="1:8" ht="12.45" customHeight="1">
      <c r="A34" s="15" t="s">
        <v>228</v>
      </c>
      <c r="B34" s="9">
        <v>57000</v>
      </c>
      <c r="C34" s="9">
        <v>70000</v>
      </c>
      <c r="D34" s="9">
        <v>96000</v>
      </c>
      <c r="E34" s="9">
        <v>112000</v>
      </c>
      <c r="F34" s="9">
        <v>132000</v>
      </c>
      <c r="G34" s="9">
        <v>144000</v>
      </c>
      <c r="H34" s="9">
        <v>159000</v>
      </c>
    </row>
    <row r="35" spans="1:8" ht="12.45" customHeight="1">
      <c r="A35" s="15" t="s">
        <v>229</v>
      </c>
      <c r="B35" s="9">
        <v>6000</v>
      </c>
      <c r="C35" s="9">
        <v>7000</v>
      </c>
      <c r="D35" s="9">
        <v>7000</v>
      </c>
      <c r="E35" s="9">
        <v>9000</v>
      </c>
      <c r="F35" s="9">
        <v>6000</v>
      </c>
      <c r="G35" s="9">
        <v>11000</v>
      </c>
      <c r="H35" s="9">
        <v>12000</v>
      </c>
    </row>
    <row r="36" spans="1:8" ht="12.45" customHeight="1">
      <c r="A36" s="15" t="s">
        <v>230</v>
      </c>
      <c r="B36" s="9">
        <v>10000</v>
      </c>
      <c r="C36" s="9">
        <v>10000</v>
      </c>
      <c r="D36" s="9">
        <v>8000</v>
      </c>
      <c r="E36" s="9">
        <v>19000</v>
      </c>
      <c r="F36" s="9">
        <v>14000</v>
      </c>
      <c r="G36" s="9">
        <v>14000</v>
      </c>
      <c r="H36" s="9">
        <v>16000</v>
      </c>
    </row>
    <row r="37" spans="1:8" ht="12.45" customHeight="1">
      <c r="A37" s="15" t="s">
        <v>231</v>
      </c>
      <c r="B37" s="9">
        <v>40000</v>
      </c>
      <c r="C37" s="9">
        <v>45000</v>
      </c>
      <c r="D37" s="9">
        <v>46000</v>
      </c>
      <c r="E37" s="9">
        <v>58000</v>
      </c>
      <c r="F37" s="9">
        <v>51000</v>
      </c>
      <c r="G37" s="9">
        <v>65000</v>
      </c>
      <c r="H37" s="9">
        <v>55000</v>
      </c>
    </row>
    <row r="38" spans="1:8" ht="12.45" customHeight="1">
      <c r="A38" s="12" t="s">
        <v>175</v>
      </c>
      <c r="B38" s="9">
        <v>86000</v>
      </c>
      <c r="C38" s="9">
        <v>144000</v>
      </c>
      <c r="D38" s="9">
        <v>171000</v>
      </c>
      <c r="E38" s="9">
        <v>213000</v>
      </c>
      <c r="F38" s="9">
        <v>248000</v>
      </c>
      <c r="G38" s="9">
        <v>257000</v>
      </c>
      <c r="H38" s="9">
        <v>268000</v>
      </c>
    </row>
    <row r="39" spans="1:8" ht="12.45" customHeight="1">
      <c r="A39" s="12" t="s">
        <v>176</v>
      </c>
      <c r="B39" s="9">
        <v>641000</v>
      </c>
      <c r="C39" s="9">
        <v>844000</v>
      </c>
      <c r="D39" s="9">
        <v>939000</v>
      </c>
      <c r="E39" s="9">
        <v>941000</v>
      </c>
      <c r="F39" s="9">
        <v>1051000</v>
      </c>
      <c r="G39" s="9">
        <v>1049000</v>
      </c>
      <c r="H39" s="9">
        <v>1154000</v>
      </c>
    </row>
    <row r="40" spans="1:8" ht="12.45" customHeight="1">
      <c r="A40" s="10" t="s">
        <v>273</v>
      </c>
      <c r="B40" s="9">
        <v>52000</v>
      </c>
      <c r="C40" s="9">
        <v>67000</v>
      </c>
      <c r="D40" s="9">
        <v>75000</v>
      </c>
      <c r="E40" s="9">
        <v>107000</v>
      </c>
      <c r="F40" s="9">
        <v>70000</v>
      </c>
      <c r="G40" s="9">
        <v>78000</v>
      </c>
      <c r="H40" s="9">
        <v>70000</v>
      </c>
    </row>
    <row r="41" spans="1:8" ht="12.45" customHeight="1">
      <c r="A41" s="12" t="s">
        <v>174</v>
      </c>
      <c r="B41" s="9">
        <v>11000</v>
      </c>
      <c r="C41" s="9">
        <v>9000</v>
      </c>
      <c r="D41" s="9">
        <v>9000</v>
      </c>
      <c r="E41" s="9">
        <v>9000</v>
      </c>
      <c r="F41" s="9">
        <v>19000</v>
      </c>
      <c r="G41" s="9">
        <v>14000</v>
      </c>
      <c r="H41" s="9">
        <v>11000</v>
      </c>
    </row>
    <row r="42" spans="1:8" ht="12.45" customHeight="1">
      <c r="A42" s="13" t="s">
        <v>227</v>
      </c>
      <c r="B42" s="13" t="s">
        <v>220</v>
      </c>
      <c r="C42" s="13" t="s">
        <v>191</v>
      </c>
      <c r="D42" s="9">
        <v>1000</v>
      </c>
      <c r="E42" s="13" t="s">
        <v>220</v>
      </c>
      <c r="F42" s="13" t="s">
        <v>222</v>
      </c>
      <c r="G42" s="13" t="s">
        <v>220</v>
      </c>
      <c r="H42" s="13" t="s">
        <v>220</v>
      </c>
    </row>
    <row r="43" spans="1:8" ht="12.45" customHeight="1">
      <c r="A43" s="15" t="s">
        <v>228</v>
      </c>
      <c r="B43" s="9">
        <v>6000</v>
      </c>
      <c r="C43" s="9">
        <v>2000</v>
      </c>
      <c r="D43" s="9">
        <v>4000</v>
      </c>
      <c r="E43" s="9">
        <v>5000</v>
      </c>
      <c r="F43" s="9">
        <v>9000</v>
      </c>
      <c r="G43" s="13" t="s">
        <v>191</v>
      </c>
      <c r="H43" s="9">
        <v>5000</v>
      </c>
    </row>
    <row r="44" spans="1:8" ht="12.45" customHeight="1">
      <c r="A44" s="15" t="s">
        <v>229</v>
      </c>
      <c r="B44" s="13" t="s">
        <v>220</v>
      </c>
      <c r="C44" s="13" t="s">
        <v>222</v>
      </c>
      <c r="D44" s="13" t="s">
        <v>220</v>
      </c>
      <c r="E44" s="13" t="s">
        <v>220</v>
      </c>
      <c r="F44" s="13" t="s">
        <v>220</v>
      </c>
      <c r="G44" s="13" t="s">
        <v>220</v>
      </c>
      <c r="H44" s="13" t="s">
        <v>191</v>
      </c>
    </row>
    <row r="45" spans="1:8" ht="12.45" customHeight="1">
      <c r="A45" s="15" t="s">
        <v>230</v>
      </c>
      <c r="B45" s="13" t="s">
        <v>220</v>
      </c>
      <c r="C45" s="13" t="s">
        <v>220</v>
      </c>
      <c r="D45" s="13" t="s">
        <v>220</v>
      </c>
      <c r="E45" s="13" t="s">
        <v>222</v>
      </c>
      <c r="F45" s="13" t="s">
        <v>220</v>
      </c>
      <c r="G45" s="13" t="s">
        <v>222</v>
      </c>
      <c r="H45" s="13" t="s">
        <v>222</v>
      </c>
    </row>
    <row r="46" spans="1:8" ht="12.45" customHeight="1">
      <c r="A46" s="15" t="s">
        <v>231</v>
      </c>
      <c r="B46" s="9">
        <v>4000</v>
      </c>
      <c r="C46" s="9">
        <v>4000</v>
      </c>
      <c r="D46" s="9">
        <v>4000</v>
      </c>
      <c r="E46" s="9">
        <v>4000</v>
      </c>
      <c r="F46" s="9">
        <v>8000</v>
      </c>
      <c r="G46" s="9">
        <v>7000</v>
      </c>
      <c r="H46" s="9">
        <v>5000</v>
      </c>
    </row>
    <row r="47" spans="1:8" ht="12.45" customHeight="1">
      <c r="A47" s="12" t="s">
        <v>175</v>
      </c>
      <c r="B47" s="9">
        <v>9000</v>
      </c>
      <c r="C47" s="9">
        <v>17000</v>
      </c>
      <c r="D47" s="9">
        <v>12000</v>
      </c>
      <c r="E47" s="9">
        <v>8000</v>
      </c>
      <c r="F47" s="9">
        <v>7000</v>
      </c>
      <c r="G47" s="13" t="s">
        <v>191</v>
      </c>
      <c r="H47" s="9">
        <v>18000</v>
      </c>
    </row>
    <row r="48" spans="1:8" ht="12.45" customHeight="1">
      <c r="A48" s="12" t="s">
        <v>176</v>
      </c>
      <c r="B48" s="9">
        <v>33000</v>
      </c>
      <c r="C48" s="9">
        <v>41000</v>
      </c>
      <c r="D48" s="9">
        <v>53000</v>
      </c>
      <c r="E48" s="9">
        <v>90000</v>
      </c>
      <c r="F48" s="9">
        <v>45000</v>
      </c>
      <c r="G48" s="9">
        <v>42000</v>
      </c>
      <c r="H48" s="9">
        <v>41000</v>
      </c>
    </row>
    <row r="49" spans="1:8" ht="12.45" customHeight="1">
      <c r="A49" s="10" t="s">
        <v>274</v>
      </c>
      <c r="B49" s="9">
        <v>14239000</v>
      </c>
      <c r="C49" s="9">
        <v>15910000</v>
      </c>
      <c r="D49" s="9">
        <v>16529000</v>
      </c>
      <c r="E49" s="9">
        <v>16913000</v>
      </c>
      <c r="F49" s="9">
        <v>17044000</v>
      </c>
      <c r="G49" s="9">
        <v>17264000</v>
      </c>
      <c r="H49" s="9">
        <v>17663000</v>
      </c>
    </row>
    <row r="50" spans="1:8" ht="12.45" customHeight="1">
      <c r="A50" s="12" t="s">
        <v>174</v>
      </c>
      <c r="B50" s="9">
        <v>2605000</v>
      </c>
      <c r="C50" s="9">
        <v>2780000</v>
      </c>
      <c r="D50" s="9">
        <v>2902000</v>
      </c>
      <c r="E50" s="9">
        <v>3123000</v>
      </c>
      <c r="F50" s="9">
        <v>3209000</v>
      </c>
      <c r="G50" s="9">
        <v>3461000</v>
      </c>
      <c r="H50" s="9">
        <v>3557000</v>
      </c>
    </row>
    <row r="51" spans="1:8" ht="12.45" customHeight="1">
      <c r="A51" s="13" t="s">
        <v>227</v>
      </c>
      <c r="B51" s="9">
        <v>199000</v>
      </c>
      <c r="C51" s="9">
        <v>228000</v>
      </c>
      <c r="D51" s="9">
        <v>242000</v>
      </c>
      <c r="E51" s="9">
        <v>241000</v>
      </c>
      <c r="F51" s="9">
        <v>218000</v>
      </c>
      <c r="G51" s="9">
        <v>227000</v>
      </c>
      <c r="H51" s="9">
        <v>278000</v>
      </c>
    </row>
    <row r="52" spans="1:8" ht="12.45" customHeight="1">
      <c r="A52" s="15" t="s">
        <v>228</v>
      </c>
      <c r="B52" s="9">
        <v>1004000</v>
      </c>
      <c r="C52" s="9">
        <v>1210000</v>
      </c>
      <c r="D52" s="9">
        <v>1319000</v>
      </c>
      <c r="E52" s="9">
        <v>1504000</v>
      </c>
      <c r="F52" s="9">
        <v>1584000</v>
      </c>
      <c r="G52" s="9">
        <v>1740000</v>
      </c>
      <c r="H52" s="9">
        <v>1732000</v>
      </c>
    </row>
    <row r="53" spans="1:8" ht="12.45" customHeight="1">
      <c r="A53" s="15" t="s">
        <v>229</v>
      </c>
      <c r="B53" s="9">
        <v>176000</v>
      </c>
      <c r="C53" s="9">
        <v>184000</v>
      </c>
      <c r="D53" s="9">
        <v>170000</v>
      </c>
      <c r="E53" s="9">
        <v>169000</v>
      </c>
      <c r="F53" s="9">
        <v>194000</v>
      </c>
      <c r="G53" s="9">
        <v>196000</v>
      </c>
      <c r="H53" s="9">
        <v>191000</v>
      </c>
    </row>
    <row r="54" spans="1:8" ht="12.45" customHeight="1">
      <c r="A54" s="15" t="s">
        <v>230</v>
      </c>
      <c r="B54" s="9">
        <v>190000</v>
      </c>
      <c r="C54" s="9">
        <v>183000</v>
      </c>
      <c r="D54" s="9">
        <v>188000</v>
      </c>
      <c r="E54" s="9">
        <v>168000</v>
      </c>
      <c r="F54" s="9">
        <v>186000</v>
      </c>
      <c r="G54" s="9">
        <v>185000</v>
      </c>
      <c r="H54" s="9">
        <v>206000</v>
      </c>
    </row>
  </sheetData>
  <mergeCells count="1">
    <mergeCell ref="A1:I1"/>
  </mergeCell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theme="0" tint="-0.249977111117893"/>
  </sheetPr>
  <dimension ref="A1:I17"/>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42.75" customHeight="1">
      <c r="A1" s="420" t="s">
        <v>639</v>
      </c>
      <c r="B1" s="420"/>
      <c r="C1" s="420"/>
      <c r="D1" s="420"/>
      <c r="E1" s="420"/>
      <c r="F1" s="420"/>
      <c r="G1" s="420"/>
      <c r="H1" s="420"/>
      <c r="I1" s="420"/>
    </row>
    <row r="2" spans="1:9" ht="14.7" customHeight="1">
      <c r="A2" s="54" t="s">
        <v>640</v>
      </c>
      <c r="B2" s="87">
        <v>2003</v>
      </c>
      <c r="C2" s="87">
        <v>2010</v>
      </c>
      <c r="D2" s="87">
        <v>2013</v>
      </c>
      <c r="E2" s="87">
        <v>2015</v>
      </c>
      <c r="F2" s="87">
        <v>2017</v>
      </c>
      <c r="G2" s="87">
        <v>2019</v>
      </c>
      <c r="H2" s="87">
        <v>2021</v>
      </c>
    </row>
    <row r="3" spans="1:9" ht="12.45" customHeight="1">
      <c r="A3" s="30" t="s">
        <v>231</v>
      </c>
      <c r="B3" s="7">
        <v>1037000</v>
      </c>
      <c r="C3" s="7">
        <v>975000</v>
      </c>
      <c r="D3" s="7">
        <v>984000</v>
      </c>
      <c r="E3" s="7">
        <v>1041000</v>
      </c>
      <c r="F3" s="7">
        <v>1027000</v>
      </c>
      <c r="G3" s="7">
        <v>1114000</v>
      </c>
      <c r="H3" s="7">
        <v>1151000</v>
      </c>
    </row>
    <row r="4" spans="1:9" ht="12.45" customHeight="1">
      <c r="A4" s="12" t="s">
        <v>175</v>
      </c>
      <c r="B4" s="9">
        <v>1864000</v>
      </c>
      <c r="C4" s="9">
        <v>2297000</v>
      </c>
      <c r="D4" s="9">
        <v>2317000</v>
      </c>
      <c r="E4" s="9">
        <v>2363000</v>
      </c>
      <c r="F4" s="9">
        <v>2412000</v>
      </c>
      <c r="G4" s="9">
        <v>2562000</v>
      </c>
      <c r="H4" s="9">
        <v>2763000</v>
      </c>
    </row>
    <row r="5" spans="1:9" ht="12.45" customHeight="1">
      <c r="A5" s="12" t="s">
        <v>176</v>
      </c>
      <c r="B5" s="9">
        <v>9770000</v>
      </c>
      <c r="C5" s="9">
        <v>10833000</v>
      </c>
      <c r="D5" s="9">
        <v>11309000</v>
      </c>
      <c r="E5" s="9">
        <v>11427000</v>
      </c>
      <c r="F5" s="9">
        <v>11423000</v>
      </c>
      <c r="G5" s="9">
        <v>11240000</v>
      </c>
      <c r="H5" s="9">
        <v>11343000</v>
      </c>
    </row>
    <row r="6" spans="1:9" ht="12.45" customHeight="1">
      <c r="A6" s="10" t="s">
        <v>275</v>
      </c>
      <c r="B6" s="9">
        <v>193000</v>
      </c>
      <c r="C6" s="9">
        <v>252000</v>
      </c>
      <c r="D6" s="9">
        <v>292000</v>
      </c>
      <c r="E6" s="9">
        <v>432000</v>
      </c>
      <c r="F6" s="9">
        <v>396000</v>
      </c>
      <c r="G6" s="9">
        <v>490000</v>
      </c>
      <c r="H6" s="9">
        <v>612000</v>
      </c>
    </row>
    <row r="7" spans="1:9" ht="12.45" customHeight="1">
      <c r="A7" s="12" t="s">
        <v>174</v>
      </c>
      <c r="B7" s="9">
        <v>41000</v>
      </c>
      <c r="C7" s="9">
        <v>51000</v>
      </c>
      <c r="D7" s="9">
        <v>61000</v>
      </c>
      <c r="E7" s="9">
        <v>72000</v>
      </c>
      <c r="F7" s="9">
        <v>73000</v>
      </c>
      <c r="G7" s="9">
        <v>100000</v>
      </c>
      <c r="H7" s="9">
        <v>124000</v>
      </c>
    </row>
    <row r="8" spans="1:9" ht="12.45" customHeight="1">
      <c r="A8" s="15" t="s">
        <v>227</v>
      </c>
      <c r="B8" s="9">
        <v>3000</v>
      </c>
      <c r="C8" s="9">
        <v>5000</v>
      </c>
      <c r="D8" s="9">
        <v>6000</v>
      </c>
      <c r="E8" s="9">
        <v>5000</v>
      </c>
      <c r="F8" s="9">
        <v>5000</v>
      </c>
      <c r="G8" s="9">
        <v>7000</v>
      </c>
      <c r="H8" s="13" t="s">
        <v>191</v>
      </c>
    </row>
    <row r="9" spans="1:9" ht="12.45" customHeight="1">
      <c r="A9" s="15" t="s">
        <v>228</v>
      </c>
      <c r="B9" s="9">
        <v>18000</v>
      </c>
      <c r="C9" s="9">
        <v>26000</v>
      </c>
      <c r="D9" s="9">
        <v>35000</v>
      </c>
      <c r="E9" s="9">
        <v>41000</v>
      </c>
      <c r="F9" s="9">
        <v>38000</v>
      </c>
      <c r="G9" s="9">
        <v>60000</v>
      </c>
      <c r="H9" s="9">
        <v>76000</v>
      </c>
    </row>
    <row r="10" spans="1:9" ht="12.45" customHeight="1">
      <c r="A10" s="15" t="s">
        <v>229</v>
      </c>
      <c r="B10" s="9">
        <v>2000</v>
      </c>
      <c r="C10" s="9">
        <v>3000</v>
      </c>
      <c r="D10" s="9">
        <v>2000</v>
      </c>
      <c r="E10" s="9">
        <v>2000</v>
      </c>
      <c r="F10" s="9">
        <v>3000</v>
      </c>
      <c r="G10" s="9">
        <v>3000</v>
      </c>
      <c r="H10" s="9">
        <v>6000</v>
      </c>
    </row>
    <row r="11" spans="1:9" ht="12.45" customHeight="1">
      <c r="A11" s="15" t="s">
        <v>230</v>
      </c>
      <c r="B11" s="9">
        <v>3000</v>
      </c>
      <c r="C11" s="9">
        <v>4000</v>
      </c>
      <c r="D11" s="9">
        <v>3000</v>
      </c>
      <c r="E11" s="9">
        <v>3000</v>
      </c>
      <c r="F11" s="9">
        <v>4000</v>
      </c>
      <c r="G11" s="9">
        <v>3000</v>
      </c>
      <c r="H11" s="9">
        <v>3000</v>
      </c>
    </row>
    <row r="12" spans="1:9" ht="12.45" customHeight="1">
      <c r="A12" s="15" t="s">
        <v>231</v>
      </c>
      <c r="B12" s="9">
        <v>15000</v>
      </c>
      <c r="C12" s="9">
        <v>14000</v>
      </c>
      <c r="D12" s="9">
        <v>16000</v>
      </c>
      <c r="E12" s="9">
        <v>21000</v>
      </c>
      <c r="F12" s="9">
        <v>23000</v>
      </c>
      <c r="G12" s="9">
        <v>27000</v>
      </c>
      <c r="H12" s="9">
        <v>28000</v>
      </c>
    </row>
    <row r="13" spans="1:9" ht="12.45" customHeight="1">
      <c r="A13" s="12" t="s">
        <v>175</v>
      </c>
      <c r="B13" s="9">
        <v>27000</v>
      </c>
      <c r="C13" s="9">
        <v>29000</v>
      </c>
      <c r="D13" s="9">
        <v>52000</v>
      </c>
      <c r="E13" s="9">
        <v>56000</v>
      </c>
      <c r="F13" s="9">
        <v>48000</v>
      </c>
      <c r="G13" s="9">
        <v>76000</v>
      </c>
      <c r="H13" s="9">
        <v>60000</v>
      </c>
    </row>
    <row r="14" spans="1:9" ht="12.45" customHeight="1">
      <c r="A14" s="49" t="s">
        <v>176</v>
      </c>
      <c r="B14" s="21">
        <v>126000</v>
      </c>
      <c r="C14" s="21">
        <v>172000</v>
      </c>
      <c r="D14" s="21">
        <v>180000</v>
      </c>
      <c r="E14" s="21">
        <v>305000</v>
      </c>
      <c r="F14" s="21">
        <v>276000</v>
      </c>
      <c r="G14" s="21">
        <v>313000</v>
      </c>
      <c r="H14" s="21">
        <v>429000</v>
      </c>
    </row>
    <row r="15" spans="1:9" ht="21.45" customHeight="1">
      <c r="A15" s="421" t="s">
        <v>224</v>
      </c>
      <c r="B15" s="421"/>
      <c r="C15" s="421"/>
      <c r="D15" s="421"/>
      <c r="E15" s="421"/>
      <c r="F15" s="421"/>
      <c r="G15" s="421"/>
      <c r="H15" s="421"/>
      <c r="I15" s="421"/>
    </row>
    <row r="16" spans="1:9" ht="80.7" customHeight="1">
      <c r="A16" s="420" t="s">
        <v>642</v>
      </c>
      <c r="B16" s="420"/>
      <c r="C16" s="420"/>
      <c r="D16" s="420"/>
      <c r="E16" s="420"/>
      <c r="F16" s="420"/>
      <c r="G16" s="420"/>
      <c r="H16" s="420"/>
      <c r="I16" s="420"/>
    </row>
    <row r="17" ht="1.95" customHeight="1"/>
  </sheetData>
  <mergeCells count="3">
    <mergeCell ref="A1:I1"/>
    <mergeCell ref="A15:I15"/>
    <mergeCell ref="A16:I16"/>
  </mergeCell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Z169"/>
  <sheetViews>
    <sheetView topLeftCell="Q1" zoomScaleNormal="100" workbookViewId="0">
      <pane ySplit="3" topLeftCell="A4" activePane="bottomLeft" state="frozen"/>
      <selection pane="bottomLeft" activeCell="X3" sqref="X3"/>
    </sheetView>
  </sheetViews>
  <sheetFormatPr defaultRowHeight="13.2"/>
  <cols>
    <col min="1" max="1" width="53.77734375" customWidth="1"/>
    <col min="2" max="2" width="10.109375" customWidth="1"/>
    <col min="3" max="7" width="10" customWidth="1"/>
    <col min="8" max="8" width="10.109375" customWidth="1"/>
    <col min="9" max="9" width="9.77734375" bestFit="1" customWidth="1"/>
    <col min="10" max="16" width="9.77734375" customWidth="1"/>
  </cols>
  <sheetData>
    <row r="1" spans="1:26" ht="39" customHeight="1">
      <c r="A1" s="420" t="s">
        <v>637</v>
      </c>
      <c r="B1" s="420"/>
      <c r="C1" s="420"/>
      <c r="D1" s="420"/>
      <c r="E1" s="420"/>
      <c r="F1" s="420"/>
      <c r="G1" s="420"/>
      <c r="H1" s="420"/>
      <c r="I1" s="420"/>
      <c r="J1" s="244"/>
      <c r="K1" s="244"/>
      <c r="L1" s="244"/>
      <c r="M1" s="244"/>
      <c r="N1" s="244"/>
      <c r="O1" s="244"/>
      <c r="P1" s="244"/>
    </row>
    <row r="2" spans="1:26" ht="1.95" customHeight="1"/>
    <row r="3" spans="1:26" ht="14.7" customHeight="1">
      <c r="A3" s="101" t="s">
        <v>166</v>
      </c>
      <c r="B3" s="86">
        <v>2003</v>
      </c>
      <c r="C3" s="86">
        <v>2010</v>
      </c>
      <c r="D3" s="86">
        <v>2013</v>
      </c>
      <c r="E3" s="86">
        <v>2015</v>
      </c>
      <c r="F3" s="86">
        <v>2017</v>
      </c>
      <c r="G3" s="86">
        <v>2019</v>
      </c>
      <c r="H3" s="86">
        <v>2021</v>
      </c>
      <c r="I3" t="s">
        <v>78</v>
      </c>
      <c r="K3" t="s">
        <v>643</v>
      </c>
      <c r="L3" t="s">
        <v>644</v>
      </c>
      <c r="M3" t="s">
        <v>645</v>
      </c>
      <c r="N3" t="s">
        <v>646</v>
      </c>
      <c r="O3" t="s">
        <v>647</v>
      </c>
      <c r="P3" t="s">
        <v>648</v>
      </c>
      <c r="Q3" t="s">
        <v>649</v>
      </c>
      <c r="S3" s="101" t="s">
        <v>166</v>
      </c>
      <c r="T3" s="86">
        <v>2003</v>
      </c>
      <c r="U3" s="86">
        <v>2010</v>
      </c>
      <c r="V3" s="86">
        <v>2013</v>
      </c>
      <c r="W3" s="86">
        <v>2015</v>
      </c>
      <c r="X3" s="86">
        <v>2017</v>
      </c>
      <c r="Y3" s="86">
        <v>2019</v>
      </c>
      <c r="Z3" s="86">
        <v>2021</v>
      </c>
    </row>
    <row r="4" spans="1:26" ht="12.45" customHeight="1">
      <c r="A4" s="128" t="s">
        <v>650</v>
      </c>
      <c r="B4" s="127">
        <v>4588000</v>
      </c>
      <c r="C4" s="126">
        <v>5374000</v>
      </c>
      <c r="D4" s="126">
        <v>5766000</v>
      </c>
      <c r="E4" s="126">
        <v>6407000</v>
      </c>
      <c r="F4" s="126">
        <v>6769000</v>
      </c>
      <c r="G4" s="126">
        <v>7466000</v>
      </c>
      <c r="H4" s="126">
        <v>7894000</v>
      </c>
      <c r="I4" s="276">
        <f>SUM(B4:H4)</f>
        <v>44264000</v>
      </c>
      <c r="J4" s="276"/>
      <c r="K4" s="277">
        <f>B4/$I4</f>
        <v>0.1036508223386951</v>
      </c>
      <c r="L4" s="277">
        <f t="shared" ref="L4:Q4" si="0">C4/$I4</f>
        <v>0.12140791613952648</v>
      </c>
      <c r="M4" s="277">
        <f t="shared" si="0"/>
        <v>0.13026387131754924</v>
      </c>
      <c r="N4" s="277">
        <f t="shared" si="0"/>
        <v>0.14474516537140791</v>
      </c>
      <c r="O4" s="277">
        <f t="shared" si="0"/>
        <v>0.15292336887764324</v>
      </c>
      <c r="P4" s="277">
        <f t="shared" si="0"/>
        <v>0.16866979938550516</v>
      </c>
      <c r="Q4" s="277">
        <f t="shared" si="0"/>
        <v>0.17833905656967286</v>
      </c>
      <c r="S4" s="128" t="s">
        <v>650</v>
      </c>
      <c r="T4" s="127">
        <v>4588000</v>
      </c>
      <c r="U4" s="126">
        <v>5374000</v>
      </c>
      <c r="V4" s="126">
        <v>5766000</v>
      </c>
      <c r="W4" s="126">
        <v>6407000</v>
      </c>
      <c r="X4" s="126">
        <v>6769000</v>
      </c>
      <c r="Y4" s="126">
        <v>7466000</v>
      </c>
      <c r="Z4" s="126">
        <v>7894000</v>
      </c>
    </row>
    <row r="5" spans="1:26" ht="12.45" customHeight="1">
      <c r="A5" s="129" t="s">
        <v>178</v>
      </c>
      <c r="B5" s="105">
        <v>3319000</v>
      </c>
      <c r="C5" s="9">
        <v>3971000</v>
      </c>
      <c r="D5" s="9">
        <v>4350000</v>
      </c>
      <c r="E5" s="9">
        <v>4854000</v>
      </c>
      <c r="F5" s="9">
        <v>5085000</v>
      </c>
      <c r="G5" s="9">
        <v>5709000</v>
      </c>
      <c r="H5" s="9">
        <v>6059000</v>
      </c>
      <c r="I5" s="102">
        <f t="shared" ref="I5:I68" si="1">SUM(B5:H5)</f>
        <v>33347000</v>
      </c>
      <c r="J5" s="102"/>
      <c r="K5" s="204">
        <f t="shared" ref="K5:K68" si="2">B5/$I5</f>
        <v>9.9529193030857346E-2</v>
      </c>
      <c r="L5" s="204">
        <f t="shared" ref="L5:L68" si="3">C5/$I5</f>
        <v>0.11908117671754581</v>
      </c>
      <c r="M5" s="204">
        <f t="shared" ref="M5:M68" si="4">D5/$I5</f>
        <v>0.1304465169280595</v>
      </c>
      <c r="N5" s="204">
        <f t="shared" ref="N5:N68" si="5">E5/$I5</f>
        <v>0.14556032026868984</v>
      </c>
      <c r="O5" s="204">
        <f t="shared" ref="O5:O68" si="6">F5/$I5</f>
        <v>0.15248748013314542</v>
      </c>
      <c r="P5" s="204">
        <f t="shared" ref="P5:P68" si="7">G5/$I5</f>
        <v>0.17119980807868773</v>
      </c>
      <c r="Q5" s="204">
        <f t="shared" ref="Q5:Q68" si="8">H5/$I5</f>
        <v>0.18169550484301436</v>
      </c>
      <c r="S5" s="125" t="s">
        <v>218</v>
      </c>
      <c r="T5" s="124">
        <v>2529000</v>
      </c>
      <c r="U5" s="119">
        <v>2980000</v>
      </c>
      <c r="V5" s="119">
        <v>3288000</v>
      </c>
      <c r="W5" s="119">
        <v>3518000</v>
      </c>
      <c r="X5" s="119">
        <v>3846000</v>
      </c>
      <c r="Y5" s="119">
        <v>4176000</v>
      </c>
      <c r="Z5" s="119">
        <v>4438000</v>
      </c>
    </row>
    <row r="6" spans="1:26" ht="12.45" customHeight="1">
      <c r="A6" s="130" t="s">
        <v>179</v>
      </c>
      <c r="B6" s="105">
        <v>415000</v>
      </c>
      <c r="C6" s="9">
        <v>539000</v>
      </c>
      <c r="D6" s="9">
        <v>587000</v>
      </c>
      <c r="E6" s="9">
        <v>624000</v>
      </c>
      <c r="F6" s="9">
        <v>633000</v>
      </c>
      <c r="G6" s="9">
        <v>705000</v>
      </c>
      <c r="H6" s="9">
        <v>768000</v>
      </c>
      <c r="I6" s="102">
        <f t="shared" si="1"/>
        <v>4271000</v>
      </c>
      <c r="J6" s="102"/>
      <c r="K6" s="204">
        <f t="shared" si="2"/>
        <v>9.7166939826738463E-2</v>
      </c>
      <c r="L6" s="204">
        <f t="shared" si="3"/>
        <v>0.12619995317255911</v>
      </c>
      <c r="M6" s="204">
        <f t="shared" si="4"/>
        <v>0.13743853898384453</v>
      </c>
      <c r="N6" s="204">
        <f t="shared" si="5"/>
        <v>0.14610161554671036</v>
      </c>
      <c r="O6" s="204">
        <f t="shared" si="6"/>
        <v>0.14820885038632639</v>
      </c>
      <c r="P6" s="204">
        <f t="shared" si="7"/>
        <v>0.16506672910325451</v>
      </c>
      <c r="Q6" s="204">
        <f t="shared" si="8"/>
        <v>0.1798173729805666</v>
      </c>
      <c r="S6" s="114" t="s">
        <v>219</v>
      </c>
      <c r="T6" s="144">
        <v>1406000</v>
      </c>
      <c r="U6" s="143">
        <v>1644000</v>
      </c>
      <c r="V6" s="143">
        <v>1689000</v>
      </c>
      <c r="W6" s="143">
        <v>2076000</v>
      </c>
      <c r="X6" s="143">
        <v>2069000</v>
      </c>
      <c r="Y6" s="143">
        <v>2286000</v>
      </c>
      <c r="Z6" s="143">
        <v>2411000</v>
      </c>
    </row>
    <row r="7" spans="1:26" ht="12.45" customHeight="1">
      <c r="A7" s="131" t="s">
        <v>180</v>
      </c>
      <c r="B7" s="105">
        <v>47000</v>
      </c>
      <c r="C7" s="9">
        <v>71000</v>
      </c>
      <c r="D7" s="9">
        <v>61000</v>
      </c>
      <c r="E7" s="9">
        <v>60000</v>
      </c>
      <c r="F7" s="9">
        <v>57000</v>
      </c>
      <c r="G7" s="9">
        <v>59000</v>
      </c>
      <c r="H7" s="9">
        <v>73000</v>
      </c>
      <c r="I7" s="102">
        <f t="shared" si="1"/>
        <v>428000</v>
      </c>
      <c r="J7" s="102"/>
      <c r="K7" s="204">
        <f t="shared" si="2"/>
        <v>0.10981308411214953</v>
      </c>
      <c r="L7" s="204">
        <f t="shared" si="3"/>
        <v>0.16588785046728971</v>
      </c>
      <c r="M7" s="204">
        <f t="shared" si="4"/>
        <v>0.1425233644859813</v>
      </c>
      <c r="N7" s="204">
        <f t="shared" si="5"/>
        <v>0.14018691588785046</v>
      </c>
      <c r="O7" s="204">
        <f t="shared" si="6"/>
        <v>0.13317757009345793</v>
      </c>
      <c r="P7" s="204">
        <f t="shared" si="7"/>
        <v>0.13785046728971961</v>
      </c>
      <c r="Q7" s="204">
        <f t="shared" si="8"/>
        <v>0.17056074766355139</v>
      </c>
      <c r="S7" s="135" t="s">
        <v>221</v>
      </c>
      <c r="T7" s="136">
        <v>605000</v>
      </c>
      <c r="U7" s="137">
        <v>692000</v>
      </c>
      <c r="V7" s="137">
        <v>724000</v>
      </c>
      <c r="W7" s="137">
        <v>751000</v>
      </c>
      <c r="X7" s="137">
        <v>786000</v>
      </c>
      <c r="Y7" s="137">
        <v>938000</v>
      </c>
      <c r="Z7" s="137">
        <v>962000</v>
      </c>
    </row>
    <row r="8" spans="1:26" ht="12.45" customHeight="1">
      <c r="A8" s="131" t="s">
        <v>181</v>
      </c>
      <c r="B8" s="105">
        <v>316000</v>
      </c>
      <c r="C8" s="9">
        <v>410000</v>
      </c>
      <c r="D8" s="9">
        <v>464000</v>
      </c>
      <c r="E8" s="9">
        <v>495000</v>
      </c>
      <c r="F8" s="9">
        <v>522000</v>
      </c>
      <c r="G8" s="9">
        <v>565000</v>
      </c>
      <c r="H8" s="9">
        <v>610000</v>
      </c>
      <c r="I8" s="102">
        <f t="shared" si="1"/>
        <v>3382000</v>
      </c>
      <c r="J8" s="102"/>
      <c r="K8" s="204">
        <f t="shared" si="2"/>
        <v>9.3435836782968656E-2</v>
      </c>
      <c r="L8" s="204">
        <f t="shared" si="3"/>
        <v>0.12123004139562389</v>
      </c>
      <c r="M8" s="204">
        <f t="shared" si="4"/>
        <v>0.13719692489651095</v>
      </c>
      <c r="N8" s="204">
        <f t="shared" si="5"/>
        <v>0.14636309875813128</v>
      </c>
      <c r="O8" s="204">
        <f t="shared" si="6"/>
        <v>0.1543465405085748</v>
      </c>
      <c r="P8" s="204">
        <f t="shared" si="7"/>
        <v>0.16706091070372561</v>
      </c>
      <c r="Q8" s="204">
        <f t="shared" si="8"/>
        <v>0.1803666469544648</v>
      </c>
    </row>
    <row r="9" spans="1:26" ht="12.45" customHeight="1">
      <c r="A9" s="131" t="s">
        <v>182</v>
      </c>
      <c r="B9" s="105">
        <v>53000</v>
      </c>
      <c r="C9" s="9">
        <v>58000</v>
      </c>
      <c r="D9" s="9">
        <v>61000</v>
      </c>
      <c r="E9" s="9">
        <v>69000</v>
      </c>
      <c r="F9" s="9">
        <v>53000</v>
      </c>
      <c r="G9" s="9">
        <v>80000</v>
      </c>
      <c r="H9" s="9">
        <v>85000</v>
      </c>
      <c r="I9" s="102">
        <f t="shared" si="1"/>
        <v>459000</v>
      </c>
      <c r="J9" s="102"/>
      <c r="K9" s="204">
        <f t="shared" si="2"/>
        <v>0.11546840958605664</v>
      </c>
      <c r="L9" s="204">
        <f t="shared" si="3"/>
        <v>0.12636165577342048</v>
      </c>
      <c r="M9" s="204">
        <f t="shared" si="4"/>
        <v>0.13289760348583879</v>
      </c>
      <c r="N9" s="204">
        <f t="shared" si="5"/>
        <v>0.15032679738562091</v>
      </c>
      <c r="O9" s="204">
        <f t="shared" si="6"/>
        <v>0.11546840958605664</v>
      </c>
      <c r="P9" s="204">
        <f t="shared" si="7"/>
        <v>0.17429193899782136</v>
      </c>
      <c r="Q9" s="204">
        <f t="shared" si="8"/>
        <v>0.18518518518518517</v>
      </c>
    </row>
    <row r="10" spans="1:26" ht="12.45" customHeight="1">
      <c r="A10" s="130" t="s">
        <v>183</v>
      </c>
      <c r="B10" s="105">
        <v>751000</v>
      </c>
      <c r="C10" s="9">
        <v>1023000</v>
      </c>
      <c r="D10" s="9">
        <v>1195000</v>
      </c>
      <c r="E10" s="9">
        <v>1350000</v>
      </c>
      <c r="F10" s="9">
        <v>1437000</v>
      </c>
      <c r="G10" s="9">
        <v>1670000</v>
      </c>
      <c r="H10" s="9">
        <v>1795000</v>
      </c>
      <c r="I10" s="102">
        <f t="shared" si="1"/>
        <v>9221000</v>
      </c>
      <c r="J10" s="102"/>
      <c r="K10" s="204">
        <f t="shared" si="2"/>
        <v>8.1444528792972565E-2</v>
      </c>
      <c r="L10" s="204">
        <f t="shared" si="3"/>
        <v>0.11094241405487475</v>
      </c>
      <c r="M10" s="204">
        <f t="shared" si="4"/>
        <v>0.12959548855872466</v>
      </c>
      <c r="N10" s="204">
        <f t="shared" si="5"/>
        <v>0.14640494523370567</v>
      </c>
      <c r="O10" s="204">
        <f t="shared" si="6"/>
        <v>0.15583993059321116</v>
      </c>
      <c r="P10" s="204">
        <f t="shared" si="7"/>
        <v>0.18110833965947296</v>
      </c>
      <c r="Q10" s="204">
        <f t="shared" si="8"/>
        <v>0.19466435310703828</v>
      </c>
    </row>
    <row r="11" spans="1:26" ht="12.45" customHeight="1">
      <c r="A11" s="131" t="s">
        <v>184</v>
      </c>
      <c r="B11" s="105">
        <v>575000</v>
      </c>
      <c r="C11" s="9">
        <v>831000</v>
      </c>
      <c r="D11" s="9">
        <v>997000</v>
      </c>
      <c r="E11" s="9">
        <v>1153000</v>
      </c>
      <c r="F11" s="9">
        <v>1257000</v>
      </c>
      <c r="G11" s="9">
        <v>1427000</v>
      </c>
      <c r="H11" s="9">
        <v>1556000</v>
      </c>
      <c r="I11" s="102">
        <f t="shared" si="1"/>
        <v>7796000</v>
      </c>
      <c r="J11" s="102"/>
      <c r="K11" s="204">
        <f t="shared" si="2"/>
        <v>7.3755772190867111E-2</v>
      </c>
      <c r="L11" s="204">
        <f t="shared" si="3"/>
        <v>0.10659312467932273</v>
      </c>
      <c r="M11" s="204">
        <f t="shared" si="4"/>
        <v>0.12788609543355567</v>
      </c>
      <c r="N11" s="204">
        <f t="shared" si="5"/>
        <v>0.1478963571062083</v>
      </c>
      <c r="O11" s="204">
        <f t="shared" si="6"/>
        <v>0.1612365315546434</v>
      </c>
      <c r="P11" s="204">
        <f t="shared" si="7"/>
        <v>0.18304258594150846</v>
      </c>
      <c r="Q11" s="204">
        <f t="shared" si="8"/>
        <v>0.19958953309389429</v>
      </c>
    </row>
    <row r="12" spans="1:26" ht="12.45" customHeight="1">
      <c r="A12" s="131" t="s">
        <v>185</v>
      </c>
      <c r="B12" s="105">
        <v>176000</v>
      </c>
      <c r="C12" s="9">
        <v>192000</v>
      </c>
      <c r="D12" s="9">
        <v>197000</v>
      </c>
      <c r="E12" s="9">
        <v>197000</v>
      </c>
      <c r="F12" s="9">
        <v>180000</v>
      </c>
      <c r="G12" s="9">
        <v>243000</v>
      </c>
      <c r="H12" s="9">
        <v>239000</v>
      </c>
      <c r="I12" s="102">
        <f t="shared" si="1"/>
        <v>1424000</v>
      </c>
      <c r="J12" s="102"/>
      <c r="K12" s="204">
        <f t="shared" si="2"/>
        <v>0.12359550561797752</v>
      </c>
      <c r="L12" s="204">
        <f t="shared" si="3"/>
        <v>0.1348314606741573</v>
      </c>
      <c r="M12" s="204">
        <f t="shared" si="4"/>
        <v>0.13834269662921347</v>
      </c>
      <c r="N12" s="204">
        <f t="shared" si="5"/>
        <v>0.13834269662921347</v>
      </c>
      <c r="O12" s="204">
        <f t="shared" si="6"/>
        <v>0.12640449438202248</v>
      </c>
      <c r="P12" s="204">
        <f t="shared" si="7"/>
        <v>0.17064606741573032</v>
      </c>
      <c r="Q12" s="204">
        <f t="shared" si="8"/>
        <v>0.1678370786516854</v>
      </c>
    </row>
    <row r="13" spans="1:26" ht="12.45" customHeight="1">
      <c r="A13" s="130" t="s">
        <v>186</v>
      </c>
      <c r="B13" s="105">
        <v>330000</v>
      </c>
      <c r="C13" s="9">
        <v>354000</v>
      </c>
      <c r="D13" s="9">
        <v>359000</v>
      </c>
      <c r="E13" s="9">
        <v>386000</v>
      </c>
      <c r="F13" s="9">
        <v>366000</v>
      </c>
      <c r="G13" s="9">
        <v>422000</v>
      </c>
      <c r="H13" s="9">
        <v>461000</v>
      </c>
      <c r="I13" s="102">
        <f t="shared" si="1"/>
        <v>2678000</v>
      </c>
      <c r="J13" s="102"/>
      <c r="K13" s="204">
        <f t="shared" si="2"/>
        <v>0.12322628827483197</v>
      </c>
      <c r="L13" s="204">
        <f t="shared" si="3"/>
        <v>0.13218820014936519</v>
      </c>
      <c r="M13" s="204">
        <f t="shared" si="4"/>
        <v>0.1340552651232263</v>
      </c>
      <c r="N13" s="204">
        <f t="shared" si="5"/>
        <v>0.14413741598207619</v>
      </c>
      <c r="O13" s="204">
        <f t="shared" si="6"/>
        <v>0.13666915608663183</v>
      </c>
      <c r="P13" s="204">
        <f t="shared" si="7"/>
        <v>0.15758028379387604</v>
      </c>
      <c r="Q13" s="204">
        <f t="shared" si="8"/>
        <v>0.17214339058999253</v>
      </c>
    </row>
    <row r="14" spans="1:26" ht="12.45" customHeight="1">
      <c r="A14" s="131" t="s">
        <v>187</v>
      </c>
      <c r="B14" s="105">
        <v>147000</v>
      </c>
      <c r="C14" s="9">
        <v>154000</v>
      </c>
      <c r="D14" s="9">
        <v>158000</v>
      </c>
      <c r="E14" s="9">
        <v>173000</v>
      </c>
      <c r="F14" s="9">
        <v>156000</v>
      </c>
      <c r="G14" s="9">
        <v>179000</v>
      </c>
      <c r="H14" s="9">
        <v>189000</v>
      </c>
      <c r="I14" s="102">
        <f t="shared" si="1"/>
        <v>1156000</v>
      </c>
      <c r="J14" s="102"/>
      <c r="K14" s="204">
        <f t="shared" si="2"/>
        <v>0.12716262975778547</v>
      </c>
      <c r="L14" s="204">
        <f t="shared" si="3"/>
        <v>0.13321799307958476</v>
      </c>
      <c r="M14" s="204">
        <f t="shared" si="4"/>
        <v>0.13667820069204153</v>
      </c>
      <c r="N14" s="204">
        <f t="shared" si="5"/>
        <v>0.14965397923875431</v>
      </c>
      <c r="O14" s="204">
        <f t="shared" si="6"/>
        <v>0.13494809688581316</v>
      </c>
      <c r="P14" s="204">
        <f t="shared" si="7"/>
        <v>0.15484429065743946</v>
      </c>
      <c r="Q14" s="204">
        <f t="shared" si="8"/>
        <v>0.16349480968858132</v>
      </c>
    </row>
    <row r="15" spans="1:26" ht="12.45" customHeight="1">
      <c r="A15" s="131" t="s">
        <v>188</v>
      </c>
      <c r="B15" s="105">
        <v>86000</v>
      </c>
      <c r="C15" s="9">
        <v>92000</v>
      </c>
      <c r="D15" s="9">
        <v>96000</v>
      </c>
      <c r="E15" s="9">
        <v>100000</v>
      </c>
      <c r="F15" s="9">
        <v>93000</v>
      </c>
      <c r="G15" s="9">
        <v>108000</v>
      </c>
      <c r="H15" s="9">
        <v>120000</v>
      </c>
      <c r="I15" s="102">
        <f t="shared" si="1"/>
        <v>695000</v>
      </c>
      <c r="J15" s="102"/>
      <c r="K15" s="204">
        <f t="shared" si="2"/>
        <v>0.12374100719424461</v>
      </c>
      <c r="L15" s="204">
        <f t="shared" si="3"/>
        <v>0.13237410071942446</v>
      </c>
      <c r="M15" s="204">
        <f t="shared" si="4"/>
        <v>0.13812949640287769</v>
      </c>
      <c r="N15" s="204">
        <f t="shared" si="5"/>
        <v>0.14388489208633093</v>
      </c>
      <c r="O15" s="204">
        <f t="shared" si="6"/>
        <v>0.13381294964028778</v>
      </c>
      <c r="P15" s="204">
        <f t="shared" si="7"/>
        <v>0.1553956834532374</v>
      </c>
      <c r="Q15" s="204">
        <f t="shared" si="8"/>
        <v>0.17266187050359713</v>
      </c>
    </row>
    <row r="16" spans="1:26" ht="12.45" customHeight="1">
      <c r="A16" s="131" t="s">
        <v>189</v>
      </c>
      <c r="B16" s="105">
        <v>87000</v>
      </c>
      <c r="C16" s="9">
        <v>100000</v>
      </c>
      <c r="D16" s="9">
        <v>100000</v>
      </c>
      <c r="E16" s="9">
        <v>109000</v>
      </c>
      <c r="F16" s="9">
        <v>109000</v>
      </c>
      <c r="G16" s="9">
        <v>131000</v>
      </c>
      <c r="H16" s="9">
        <v>146000</v>
      </c>
      <c r="I16" s="102">
        <f t="shared" si="1"/>
        <v>782000</v>
      </c>
      <c r="J16" s="102"/>
      <c r="K16" s="204">
        <f t="shared" si="2"/>
        <v>0.11125319693094629</v>
      </c>
      <c r="L16" s="204">
        <f t="shared" si="3"/>
        <v>0.12787723785166241</v>
      </c>
      <c r="M16" s="204">
        <f t="shared" si="4"/>
        <v>0.12787723785166241</v>
      </c>
      <c r="N16" s="204">
        <f t="shared" si="5"/>
        <v>0.13938618925831203</v>
      </c>
      <c r="O16" s="204">
        <f t="shared" si="6"/>
        <v>0.13938618925831203</v>
      </c>
      <c r="P16" s="204">
        <f t="shared" si="7"/>
        <v>0.16751918158567775</v>
      </c>
      <c r="Q16" s="204">
        <f t="shared" si="8"/>
        <v>0.1867007672634271</v>
      </c>
    </row>
    <row r="17" spans="1:17" ht="12.45" customHeight="1">
      <c r="A17" s="131" t="s">
        <v>190</v>
      </c>
      <c r="B17" s="105">
        <v>9000</v>
      </c>
      <c r="C17" s="9">
        <v>8000</v>
      </c>
      <c r="D17" s="9">
        <v>5000</v>
      </c>
      <c r="E17" s="9">
        <v>4000</v>
      </c>
      <c r="F17" s="9">
        <v>8000</v>
      </c>
      <c r="G17" s="9">
        <v>4000</v>
      </c>
      <c r="H17" s="9">
        <v>6000</v>
      </c>
      <c r="I17" s="102">
        <f t="shared" si="1"/>
        <v>44000</v>
      </c>
      <c r="J17" s="102"/>
      <c r="K17" s="204">
        <f t="shared" si="2"/>
        <v>0.20454545454545456</v>
      </c>
      <c r="L17" s="204">
        <f t="shared" si="3"/>
        <v>0.18181818181818182</v>
      </c>
      <c r="M17" s="204">
        <f t="shared" si="4"/>
        <v>0.11363636363636363</v>
      </c>
      <c r="N17" s="204">
        <f t="shared" si="5"/>
        <v>9.0909090909090912E-2</v>
      </c>
      <c r="O17" s="204">
        <f t="shared" si="6"/>
        <v>0.18181818181818182</v>
      </c>
      <c r="P17" s="204">
        <f t="shared" si="7"/>
        <v>9.0909090909090912E-2</v>
      </c>
      <c r="Q17" s="204">
        <f t="shared" si="8"/>
        <v>0.13636363636363635</v>
      </c>
    </row>
    <row r="18" spans="1:17" ht="12.45" customHeight="1">
      <c r="A18" s="130" t="s">
        <v>192</v>
      </c>
      <c r="B18" s="105">
        <v>462000</v>
      </c>
      <c r="C18" s="9">
        <v>556000</v>
      </c>
      <c r="D18" s="9">
        <v>599000</v>
      </c>
      <c r="E18" s="9">
        <v>660000</v>
      </c>
      <c r="F18" s="9">
        <v>679000</v>
      </c>
      <c r="G18" s="9">
        <v>754000</v>
      </c>
      <c r="H18" s="9">
        <v>758000</v>
      </c>
      <c r="I18" s="102">
        <f t="shared" si="1"/>
        <v>4468000</v>
      </c>
      <c r="J18" s="102"/>
      <c r="K18" s="204">
        <f t="shared" si="2"/>
        <v>0.10340196956132498</v>
      </c>
      <c r="L18" s="204">
        <f t="shared" si="3"/>
        <v>0.12444046553267682</v>
      </c>
      <c r="M18" s="204">
        <f t="shared" si="4"/>
        <v>0.13406445837063563</v>
      </c>
      <c r="N18" s="204">
        <f t="shared" si="5"/>
        <v>0.14771709937332139</v>
      </c>
      <c r="O18" s="204">
        <f t="shared" si="6"/>
        <v>0.15196956132497763</v>
      </c>
      <c r="P18" s="204">
        <f t="shared" si="7"/>
        <v>0.16875559534467324</v>
      </c>
      <c r="Q18" s="204">
        <f t="shared" si="8"/>
        <v>0.16965085049239034</v>
      </c>
    </row>
    <row r="19" spans="1:17" ht="12.45" customHeight="1">
      <c r="A19" s="131" t="s">
        <v>193</v>
      </c>
      <c r="B19" s="105">
        <v>67000</v>
      </c>
      <c r="C19" s="9">
        <v>80000</v>
      </c>
      <c r="D19" s="9">
        <v>78000</v>
      </c>
      <c r="E19" s="9">
        <v>98000</v>
      </c>
      <c r="F19" s="9">
        <v>115000</v>
      </c>
      <c r="G19" s="9">
        <v>130000</v>
      </c>
      <c r="H19" s="9">
        <v>123000</v>
      </c>
      <c r="I19" s="102">
        <f t="shared" si="1"/>
        <v>691000</v>
      </c>
      <c r="J19" s="102"/>
      <c r="K19" s="204">
        <f t="shared" si="2"/>
        <v>9.6960926193921854E-2</v>
      </c>
      <c r="L19" s="204">
        <f t="shared" si="3"/>
        <v>0.11577424023154848</v>
      </c>
      <c r="M19" s="204">
        <f t="shared" si="4"/>
        <v>0.11287988422575977</v>
      </c>
      <c r="N19" s="204">
        <f t="shared" si="5"/>
        <v>0.14182344428364688</v>
      </c>
      <c r="O19" s="204">
        <f t="shared" si="6"/>
        <v>0.16642547033285093</v>
      </c>
      <c r="P19" s="204">
        <f t="shared" si="7"/>
        <v>0.18813314037626627</v>
      </c>
      <c r="Q19" s="204">
        <f t="shared" si="8"/>
        <v>0.17800289435600578</v>
      </c>
    </row>
    <row r="20" spans="1:17" ht="12.45" customHeight="1">
      <c r="A20" s="131" t="s">
        <v>194</v>
      </c>
      <c r="B20" s="105">
        <v>61000</v>
      </c>
      <c r="C20" s="9">
        <v>89000</v>
      </c>
      <c r="D20" s="9">
        <v>82000</v>
      </c>
      <c r="E20" s="9">
        <v>89000</v>
      </c>
      <c r="F20" s="9">
        <v>107000</v>
      </c>
      <c r="G20" s="9">
        <v>107000</v>
      </c>
      <c r="H20" s="9">
        <v>115000</v>
      </c>
      <c r="I20" s="102">
        <f t="shared" si="1"/>
        <v>650000</v>
      </c>
      <c r="J20" s="102"/>
      <c r="K20" s="204">
        <f t="shared" si="2"/>
        <v>9.3846153846153843E-2</v>
      </c>
      <c r="L20" s="204">
        <f t="shared" si="3"/>
        <v>0.13692307692307693</v>
      </c>
      <c r="M20" s="204">
        <f t="shared" si="4"/>
        <v>0.12615384615384614</v>
      </c>
      <c r="N20" s="204">
        <f t="shared" si="5"/>
        <v>0.13692307692307693</v>
      </c>
      <c r="O20" s="204">
        <f t="shared" si="6"/>
        <v>0.16461538461538461</v>
      </c>
      <c r="P20" s="204">
        <f t="shared" si="7"/>
        <v>0.16461538461538461</v>
      </c>
      <c r="Q20" s="204">
        <f t="shared" si="8"/>
        <v>0.17692307692307693</v>
      </c>
    </row>
    <row r="21" spans="1:17" ht="12.45" customHeight="1">
      <c r="A21" s="131" t="s">
        <v>195</v>
      </c>
      <c r="B21" s="105">
        <v>237000</v>
      </c>
      <c r="C21" s="9">
        <v>260000</v>
      </c>
      <c r="D21" s="9">
        <v>296000</v>
      </c>
      <c r="E21" s="9">
        <v>309000</v>
      </c>
      <c r="F21" s="9">
        <v>306000</v>
      </c>
      <c r="G21" s="9">
        <v>341000</v>
      </c>
      <c r="H21" s="9">
        <v>337000</v>
      </c>
      <c r="I21" s="102">
        <f t="shared" si="1"/>
        <v>2086000</v>
      </c>
      <c r="J21" s="102"/>
      <c r="K21" s="204">
        <f t="shared" si="2"/>
        <v>0.11361457334611696</v>
      </c>
      <c r="L21" s="204">
        <f t="shared" si="3"/>
        <v>0.12464046021093</v>
      </c>
      <c r="M21" s="204">
        <f t="shared" si="4"/>
        <v>0.14189837008628955</v>
      </c>
      <c r="N21" s="204">
        <f t="shared" si="5"/>
        <v>0.14813039309683604</v>
      </c>
      <c r="O21" s="204">
        <f t="shared" si="6"/>
        <v>0.14669223394055608</v>
      </c>
      <c r="P21" s="204">
        <f t="shared" si="7"/>
        <v>0.16347075743048897</v>
      </c>
      <c r="Q21" s="204">
        <f t="shared" si="8"/>
        <v>0.16155321188878236</v>
      </c>
    </row>
    <row r="22" spans="1:17" ht="12.45" customHeight="1">
      <c r="A22" s="131" t="s">
        <v>196</v>
      </c>
      <c r="B22" s="105">
        <v>61000</v>
      </c>
      <c r="C22" s="9">
        <v>66000</v>
      </c>
      <c r="D22" s="9">
        <v>78000</v>
      </c>
      <c r="E22" s="9">
        <v>88000</v>
      </c>
      <c r="F22" s="9">
        <v>95000</v>
      </c>
      <c r="G22" s="9">
        <v>102000</v>
      </c>
      <c r="H22" s="9">
        <v>112000</v>
      </c>
      <c r="I22" s="102">
        <f t="shared" si="1"/>
        <v>602000</v>
      </c>
      <c r="J22" s="102"/>
      <c r="K22" s="204">
        <f t="shared" si="2"/>
        <v>0.10132890365448505</v>
      </c>
      <c r="L22" s="204">
        <f t="shared" si="3"/>
        <v>0.10963455149501661</v>
      </c>
      <c r="M22" s="204">
        <f t="shared" si="4"/>
        <v>0.12956810631229235</v>
      </c>
      <c r="N22" s="204">
        <f t="shared" si="5"/>
        <v>0.1461794019933555</v>
      </c>
      <c r="O22" s="204">
        <f t="shared" si="6"/>
        <v>0.15780730897009967</v>
      </c>
      <c r="P22" s="204">
        <f t="shared" si="7"/>
        <v>0.16943521594684385</v>
      </c>
      <c r="Q22" s="204">
        <f t="shared" si="8"/>
        <v>0.18604651162790697</v>
      </c>
    </row>
    <row r="23" spans="1:17" ht="12.45" customHeight="1">
      <c r="A23" s="131" t="s">
        <v>197</v>
      </c>
      <c r="B23" s="105">
        <v>36000</v>
      </c>
      <c r="C23" s="9">
        <v>61000</v>
      </c>
      <c r="D23" s="9">
        <v>65000</v>
      </c>
      <c r="E23" s="9">
        <v>75000</v>
      </c>
      <c r="F23" s="9">
        <v>58000</v>
      </c>
      <c r="G23" s="9">
        <v>74000</v>
      </c>
      <c r="H23" s="9">
        <v>71000</v>
      </c>
      <c r="I23" s="102">
        <f t="shared" si="1"/>
        <v>440000</v>
      </c>
      <c r="J23" s="102"/>
      <c r="K23" s="204">
        <f t="shared" si="2"/>
        <v>8.1818181818181818E-2</v>
      </c>
      <c r="L23" s="204">
        <f t="shared" si="3"/>
        <v>0.13863636363636364</v>
      </c>
      <c r="M23" s="204">
        <f t="shared" si="4"/>
        <v>0.14772727272727273</v>
      </c>
      <c r="N23" s="204">
        <f t="shared" si="5"/>
        <v>0.17045454545454544</v>
      </c>
      <c r="O23" s="204">
        <f t="shared" si="6"/>
        <v>0.13181818181818181</v>
      </c>
      <c r="P23" s="204">
        <f t="shared" si="7"/>
        <v>0.16818181818181818</v>
      </c>
      <c r="Q23" s="204">
        <f t="shared" si="8"/>
        <v>0.16136363636363638</v>
      </c>
    </row>
    <row r="24" spans="1:17" ht="12.45" customHeight="1">
      <c r="A24" s="130" t="s">
        <v>198</v>
      </c>
      <c r="B24" s="105">
        <v>1362000</v>
      </c>
      <c r="C24" s="9">
        <v>1498000</v>
      </c>
      <c r="D24" s="9">
        <v>1611000</v>
      </c>
      <c r="E24" s="9">
        <v>1834000</v>
      </c>
      <c r="F24" s="9">
        <v>1970000</v>
      </c>
      <c r="G24" s="9">
        <v>2159000</v>
      </c>
      <c r="H24" s="9">
        <v>2277000</v>
      </c>
      <c r="I24" s="102">
        <f t="shared" si="1"/>
        <v>12711000</v>
      </c>
      <c r="J24" s="102"/>
      <c r="K24" s="204">
        <f t="shared" si="2"/>
        <v>0.10715128628746755</v>
      </c>
      <c r="L24" s="204">
        <f t="shared" si="3"/>
        <v>0.11785068051294155</v>
      </c>
      <c r="M24" s="204">
        <f t="shared" si="4"/>
        <v>0.12674061836204861</v>
      </c>
      <c r="N24" s="204">
        <f t="shared" si="5"/>
        <v>0.14428447801117142</v>
      </c>
      <c r="O24" s="204">
        <f t="shared" si="6"/>
        <v>0.15498387223664542</v>
      </c>
      <c r="P24" s="204">
        <f t="shared" si="7"/>
        <v>0.16985288332939974</v>
      </c>
      <c r="Q24" s="204">
        <f t="shared" si="8"/>
        <v>0.17913618126032571</v>
      </c>
    </row>
    <row r="25" spans="1:17" ht="12.45" customHeight="1">
      <c r="A25" s="184" t="s">
        <v>199</v>
      </c>
      <c r="B25" s="105">
        <v>42000</v>
      </c>
      <c r="C25" s="9">
        <v>44000</v>
      </c>
      <c r="D25" s="9">
        <v>46000</v>
      </c>
      <c r="E25" s="9">
        <v>62000</v>
      </c>
      <c r="F25" s="9">
        <v>58000</v>
      </c>
      <c r="G25" s="9">
        <v>81000</v>
      </c>
      <c r="H25" s="9">
        <v>84000</v>
      </c>
      <c r="I25" s="102">
        <f t="shared" si="1"/>
        <v>417000</v>
      </c>
      <c r="J25" s="102"/>
      <c r="K25" s="204">
        <f t="shared" si="2"/>
        <v>0.10071942446043165</v>
      </c>
      <c r="L25" s="204">
        <f t="shared" si="3"/>
        <v>0.10551558752997602</v>
      </c>
      <c r="M25" s="204">
        <f t="shared" si="4"/>
        <v>0.11031175059952038</v>
      </c>
      <c r="N25" s="204">
        <f t="shared" si="5"/>
        <v>0.14868105515587529</v>
      </c>
      <c r="O25" s="204">
        <f t="shared" si="6"/>
        <v>0.13908872901678657</v>
      </c>
      <c r="P25" s="204">
        <f t="shared" si="7"/>
        <v>0.19424460431654678</v>
      </c>
      <c r="Q25" s="204">
        <f t="shared" si="8"/>
        <v>0.20143884892086331</v>
      </c>
    </row>
    <row r="26" spans="1:17" ht="12.45" customHeight="1">
      <c r="A26" s="131" t="s">
        <v>200</v>
      </c>
      <c r="B26" s="105">
        <v>89000</v>
      </c>
      <c r="C26" s="9">
        <v>95000</v>
      </c>
      <c r="D26" s="9">
        <v>101000</v>
      </c>
      <c r="E26" s="9">
        <v>114000</v>
      </c>
      <c r="F26" s="9">
        <v>129000</v>
      </c>
      <c r="G26" s="9">
        <v>138000</v>
      </c>
      <c r="H26" s="9">
        <v>148000</v>
      </c>
      <c r="I26" s="102">
        <f t="shared" si="1"/>
        <v>814000</v>
      </c>
      <c r="J26" s="102"/>
      <c r="K26" s="204">
        <f t="shared" si="2"/>
        <v>0.10933660933660934</v>
      </c>
      <c r="L26" s="204">
        <f t="shared" si="3"/>
        <v>0.1167076167076167</v>
      </c>
      <c r="M26" s="204">
        <f t="shared" si="4"/>
        <v>0.12407862407862408</v>
      </c>
      <c r="N26" s="204">
        <f t="shared" si="5"/>
        <v>0.14004914004914004</v>
      </c>
      <c r="O26" s="204">
        <f t="shared" si="6"/>
        <v>0.15847665847665848</v>
      </c>
      <c r="P26" s="204">
        <f t="shared" si="7"/>
        <v>0.16953316953316952</v>
      </c>
      <c r="Q26" s="204">
        <f t="shared" si="8"/>
        <v>0.18181818181818182</v>
      </c>
    </row>
    <row r="27" spans="1:17" ht="12.45" customHeight="1">
      <c r="A27" s="131" t="s">
        <v>201</v>
      </c>
      <c r="B27" s="105">
        <v>225000</v>
      </c>
      <c r="C27" s="9">
        <v>223000</v>
      </c>
      <c r="D27" s="9">
        <v>229000</v>
      </c>
      <c r="E27" s="9">
        <v>235000</v>
      </c>
      <c r="F27" s="9">
        <v>250000</v>
      </c>
      <c r="G27" s="9">
        <v>284000</v>
      </c>
      <c r="H27" s="9">
        <v>296000</v>
      </c>
      <c r="I27" s="102">
        <f t="shared" si="1"/>
        <v>1742000</v>
      </c>
      <c r="J27" s="102"/>
      <c r="K27" s="204">
        <f t="shared" si="2"/>
        <v>0.12916188289322617</v>
      </c>
      <c r="L27" s="204">
        <f t="shared" si="3"/>
        <v>0.12801377726750862</v>
      </c>
      <c r="M27" s="204">
        <f t="shared" si="4"/>
        <v>0.13145809414466131</v>
      </c>
      <c r="N27" s="204">
        <f t="shared" si="5"/>
        <v>0.13490241102181399</v>
      </c>
      <c r="O27" s="204">
        <f t="shared" si="6"/>
        <v>0.14351320321469574</v>
      </c>
      <c r="P27" s="204">
        <f t="shared" si="7"/>
        <v>0.16303099885189437</v>
      </c>
      <c r="Q27" s="204">
        <f t="shared" si="8"/>
        <v>0.16991963260619977</v>
      </c>
    </row>
    <row r="28" spans="1:17" ht="12.45" customHeight="1">
      <c r="A28" s="131" t="s">
        <v>202</v>
      </c>
      <c r="B28" s="105">
        <v>497000</v>
      </c>
      <c r="C28" s="9">
        <v>580000</v>
      </c>
      <c r="D28" s="9">
        <v>621000</v>
      </c>
      <c r="E28" s="9">
        <v>739000</v>
      </c>
      <c r="F28" s="9">
        <v>820000</v>
      </c>
      <c r="G28" s="9">
        <v>849000</v>
      </c>
      <c r="H28" s="9">
        <v>885000</v>
      </c>
      <c r="I28" s="102">
        <f t="shared" si="1"/>
        <v>4991000</v>
      </c>
      <c r="J28" s="102"/>
      <c r="K28" s="204">
        <f t="shared" si="2"/>
        <v>9.957924263674614E-2</v>
      </c>
      <c r="L28" s="204">
        <f t="shared" si="3"/>
        <v>0.11620917651773192</v>
      </c>
      <c r="M28" s="204">
        <f t="shared" si="4"/>
        <v>0.12442396313364056</v>
      </c>
      <c r="N28" s="204">
        <f t="shared" si="5"/>
        <v>0.14806651973552395</v>
      </c>
      <c r="O28" s="204">
        <f t="shared" si="6"/>
        <v>0.16429573231817271</v>
      </c>
      <c r="P28" s="204">
        <f t="shared" si="7"/>
        <v>0.17010619114405931</v>
      </c>
      <c r="Q28" s="204">
        <f t="shared" si="8"/>
        <v>0.17731917451412543</v>
      </c>
    </row>
    <row r="29" spans="1:17" ht="12.45" customHeight="1">
      <c r="A29" s="131" t="s">
        <v>203</v>
      </c>
      <c r="B29" s="105">
        <v>57000</v>
      </c>
      <c r="C29" s="9">
        <v>62000</v>
      </c>
      <c r="D29" s="9">
        <v>73000</v>
      </c>
      <c r="E29" s="9">
        <v>80000</v>
      </c>
      <c r="F29" s="9">
        <v>83000</v>
      </c>
      <c r="G29" s="9">
        <v>86000</v>
      </c>
      <c r="H29" s="9">
        <v>82000</v>
      </c>
      <c r="I29" s="102">
        <f t="shared" si="1"/>
        <v>523000</v>
      </c>
      <c r="J29" s="102"/>
      <c r="K29" s="204">
        <f t="shared" si="2"/>
        <v>0.10898661567877629</v>
      </c>
      <c r="L29" s="204">
        <f t="shared" si="3"/>
        <v>0.11854684512428298</v>
      </c>
      <c r="M29" s="204">
        <f t="shared" si="4"/>
        <v>0.13957934990439771</v>
      </c>
      <c r="N29" s="204">
        <f t="shared" si="5"/>
        <v>0.15296367112810708</v>
      </c>
      <c r="O29" s="204">
        <f t="shared" si="6"/>
        <v>0.1586998087954111</v>
      </c>
      <c r="P29" s="204">
        <f t="shared" si="7"/>
        <v>0.16443594646271512</v>
      </c>
      <c r="Q29" s="204">
        <f t="shared" si="8"/>
        <v>0.15678776290630975</v>
      </c>
    </row>
    <row r="30" spans="1:17" ht="12.45" customHeight="1">
      <c r="A30" s="131" t="s">
        <v>204</v>
      </c>
      <c r="B30" s="105">
        <v>278000</v>
      </c>
      <c r="C30" s="9">
        <v>308000</v>
      </c>
      <c r="D30" s="9">
        <v>338000</v>
      </c>
      <c r="E30" s="9">
        <v>396000</v>
      </c>
      <c r="F30" s="9">
        <v>387000</v>
      </c>
      <c r="G30" s="9">
        <v>452000</v>
      </c>
      <c r="H30" s="9">
        <v>500000</v>
      </c>
      <c r="I30" s="102">
        <f t="shared" si="1"/>
        <v>2659000</v>
      </c>
      <c r="J30" s="102"/>
      <c r="K30" s="204">
        <f t="shared" si="2"/>
        <v>0.104550582925912</v>
      </c>
      <c r="L30" s="204">
        <f t="shared" si="3"/>
        <v>0.11583301993230538</v>
      </c>
      <c r="M30" s="204">
        <f t="shared" si="4"/>
        <v>0.12711545693869875</v>
      </c>
      <c r="N30" s="204">
        <f t="shared" si="5"/>
        <v>0.14892816848439264</v>
      </c>
      <c r="O30" s="204">
        <f t="shared" si="6"/>
        <v>0.14554343738247461</v>
      </c>
      <c r="P30" s="204">
        <f t="shared" si="7"/>
        <v>0.16998871756299361</v>
      </c>
      <c r="Q30" s="204">
        <f t="shared" si="8"/>
        <v>0.18804061677322301</v>
      </c>
    </row>
    <row r="31" spans="1:17" ht="12.45" customHeight="1">
      <c r="A31" s="131" t="s">
        <v>205</v>
      </c>
      <c r="B31" s="105">
        <v>174000</v>
      </c>
      <c r="C31" s="9">
        <v>186000</v>
      </c>
      <c r="D31" s="9">
        <v>202000</v>
      </c>
      <c r="E31" s="9">
        <v>209000</v>
      </c>
      <c r="F31" s="9">
        <v>243000</v>
      </c>
      <c r="G31" s="9">
        <v>269000</v>
      </c>
      <c r="H31" s="9">
        <v>283000</v>
      </c>
      <c r="I31" s="102">
        <f t="shared" si="1"/>
        <v>1566000</v>
      </c>
      <c r="J31" s="102"/>
      <c r="K31" s="204">
        <f t="shared" si="2"/>
        <v>0.1111111111111111</v>
      </c>
      <c r="L31" s="204">
        <f t="shared" si="3"/>
        <v>0.11877394636015326</v>
      </c>
      <c r="M31" s="204">
        <f t="shared" si="4"/>
        <v>0.12899106002554278</v>
      </c>
      <c r="N31" s="204">
        <f t="shared" si="5"/>
        <v>0.1334610472541507</v>
      </c>
      <c r="O31" s="204">
        <f t="shared" si="6"/>
        <v>0.15517241379310345</v>
      </c>
      <c r="P31" s="204">
        <f t="shared" si="7"/>
        <v>0.17177522349936142</v>
      </c>
      <c r="Q31" s="204">
        <f t="shared" si="8"/>
        <v>0.18071519795657726</v>
      </c>
    </row>
    <row r="32" spans="1:17" ht="12.45" customHeight="1">
      <c r="A32" s="129" t="s">
        <v>206</v>
      </c>
      <c r="B32" s="105">
        <v>274000</v>
      </c>
      <c r="C32" s="9">
        <v>329000</v>
      </c>
      <c r="D32" s="9">
        <v>326000</v>
      </c>
      <c r="E32" s="9">
        <v>367000</v>
      </c>
      <c r="F32" s="9">
        <v>382000</v>
      </c>
      <c r="G32" s="9">
        <v>428000</v>
      </c>
      <c r="H32" s="9">
        <v>439000</v>
      </c>
      <c r="I32" s="102">
        <f t="shared" si="1"/>
        <v>2545000</v>
      </c>
      <c r="J32" s="102"/>
      <c r="K32" s="204">
        <f t="shared" si="2"/>
        <v>0.10766208251473477</v>
      </c>
      <c r="L32" s="204">
        <f t="shared" si="3"/>
        <v>0.1292730844793713</v>
      </c>
      <c r="M32" s="204">
        <f t="shared" si="4"/>
        <v>0.12809430255402751</v>
      </c>
      <c r="N32" s="204">
        <f t="shared" si="5"/>
        <v>0.14420432220039292</v>
      </c>
      <c r="O32" s="204">
        <f t="shared" si="6"/>
        <v>0.15009823182711199</v>
      </c>
      <c r="P32" s="204">
        <f t="shared" si="7"/>
        <v>0.16817288801571709</v>
      </c>
      <c r="Q32" s="204">
        <f t="shared" si="8"/>
        <v>0.17249508840864439</v>
      </c>
    </row>
    <row r="33" spans="1:17" ht="12.45" customHeight="1">
      <c r="A33" s="130" t="s">
        <v>207</v>
      </c>
      <c r="B33" s="105">
        <v>93000</v>
      </c>
      <c r="C33" s="9">
        <v>119000</v>
      </c>
      <c r="D33" s="9">
        <v>117000</v>
      </c>
      <c r="E33" s="9">
        <v>133000</v>
      </c>
      <c r="F33" s="9">
        <v>146000</v>
      </c>
      <c r="G33" s="9">
        <v>164000</v>
      </c>
      <c r="H33" s="9">
        <v>190000</v>
      </c>
      <c r="I33" s="102">
        <f t="shared" si="1"/>
        <v>962000</v>
      </c>
      <c r="J33" s="102"/>
      <c r="K33" s="204">
        <f t="shared" si="2"/>
        <v>9.6673596673596679E-2</v>
      </c>
      <c r="L33" s="204">
        <f t="shared" si="3"/>
        <v>0.12370062370062371</v>
      </c>
      <c r="M33" s="204">
        <f t="shared" si="4"/>
        <v>0.12162162162162163</v>
      </c>
      <c r="N33" s="204">
        <f t="shared" si="5"/>
        <v>0.13825363825363826</v>
      </c>
      <c r="O33" s="204">
        <f t="shared" si="6"/>
        <v>0.15176715176715178</v>
      </c>
      <c r="P33" s="204">
        <f t="shared" si="7"/>
        <v>0.17047817047817049</v>
      </c>
      <c r="Q33" s="204">
        <f t="shared" si="8"/>
        <v>0.19750519750519752</v>
      </c>
    </row>
    <row r="34" spans="1:17" ht="12.45" customHeight="1">
      <c r="A34" s="130" t="s">
        <v>208</v>
      </c>
      <c r="B34" s="105">
        <v>23000</v>
      </c>
      <c r="C34" s="9">
        <v>23000</v>
      </c>
      <c r="D34" s="9">
        <v>30000</v>
      </c>
      <c r="E34" s="9">
        <v>23000</v>
      </c>
      <c r="F34" s="9">
        <v>29000</v>
      </c>
      <c r="G34" s="9">
        <v>29000</v>
      </c>
      <c r="H34" s="9">
        <v>30000</v>
      </c>
      <c r="I34" s="102">
        <f t="shared" si="1"/>
        <v>187000</v>
      </c>
      <c r="J34" s="102"/>
      <c r="K34" s="204">
        <f t="shared" si="2"/>
        <v>0.12299465240641712</v>
      </c>
      <c r="L34" s="204">
        <f t="shared" si="3"/>
        <v>0.12299465240641712</v>
      </c>
      <c r="M34" s="204">
        <f t="shared" si="4"/>
        <v>0.16042780748663102</v>
      </c>
      <c r="N34" s="204">
        <f t="shared" si="5"/>
        <v>0.12299465240641712</v>
      </c>
      <c r="O34" s="204">
        <f t="shared" si="6"/>
        <v>0.15508021390374332</v>
      </c>
      <c r="P34" s="204">
        <f t="shared" si="7"/>
        <v>0.15508021390374332</v>
      </c>
      <c r="Q34" s="204">
        <f t="shared" si="8"/>
        <v>0.16042780748663102</v>
      </c>
    </row>
    <row r="35" spans="1:17" ht="12.45" customHeight="1">
      <c r="A35" s="130" t="s">
        <v>209</v>
      </c>
      <c r="B35" s="105">
        <v>130000</v>
      </c>
      <c r="C35" s="9">
        <v>153000</v>
      </c>
      <c r="D35" s="9">
        <v>135000</v>
      </c>
      <c r="E35" s="9">
        <v>168000</v>
      </c>
      <c r="F35" s="9">
        <v>173000</v>
      </c>
      <c r="G35" s="9">
        <v>186000</v>
      </c>
      <c r="H35" s="9">
        <v>170000</v>
      </c>
      <c r="I35" s="102">
        <f t="shared" si="1"/>
        <v>1115000</v>
      </c>
      <c r="J35" s="102"/>
      <c r="K35" s="204">
        <f t="shared" si="2"/>
        <v>0.11659192825112108</v>
      </c>
      <c r="L35" s="204">
        <f t="shared" si="3"/>
        <v>0.13721973094170403</v>
      </c>
      <c r="M35" s="204">
        <f t="shared" si="4"/>
        <v>0.1210762331838565</v>
      </c>
      <c r="N35" s="204">
        <f t="shared" si="5"/>
        <v>0.15067264573991032</v>
      </c>
      <c r="O35" s="204">
        <f t="shared" si="6"/>
        <v>0.15515695067264573</v>
      </c>
      <c r="P35" s="204">
        <f t="shared" si="7"/>
        <v>0.16681614349775784</v>
      </c>
      <c r="Q35" s="204">
        <f t="shared" si="8"/>
        <v>0.15246636771300448</v>
      </c>
    </row>
    <row r="36" spans="1:17" ht="12.45" customHeight="1">
      <c r="A36" s="130" t="s">
        <v>210</v>
      </c>
      <c r="B36" s="105">
        <v>28000</v>
      </c>
      <c r="C36" s="9">
        <v>34000</v>
      </c>
      <c r="D36" s="9">
        <v>43000</v>
      </c>
      <c r="E36" s="9">
        <v>44000</v>
      </c>
      <c r="F36" s="9">
        <v>35000</v>
      </c>
      <c r="G36" s="9">
        <v>49000</v>
      </c>
      <c r="H36" s="9">
        <v>48000</v>
      </c>
      <c r="I36" s="102">
        <f t="shared" si="1"/>
        <v>281000</v>
      </c>
      <c r="J36" s="102"/>
      <c r="K36" s="204">
        <f t="shared" si="2"/>
        <v>9.9644128113879002E-2</v>
      </c>
      <c r="L36" s="204">
        <f t="shared" si="3"/>
        <v>0.12099644128113879</v>
      </c>
      <c r="M36" s="204">
        <f t="shared" si="4"/>
        <v>0.15302491103202848</v>
      </c>
      <c r="N36" s="204">
        <f t="shared" si="5"/>
        <v>0.15658362989323843</v>
      </c>
      <c r="O36" s="204">
        <f t="shared" si="6"/>
        <v>0.12455516014234876</v>
      </c>
      <c r="P36" s="204">
        <f t="shared" si="7"/>
        <v>0.17437722419928825</v>
      </c>
      <c r="Q36" s="204">
        <f t="shared" si="8"/>
        <v>0.1708185053380783</v>
      </c>
    </row>
    <row r="37" spans="1:17" ht="12.45" customHeight="1">
      <c r="A37" s="129" t="s">
        <v>211</v>
      </c>
      <c r="B37" s="105">
        <v>995000</v>
      </c>
      <c r="C37" s="9">
        <v>1074000</v>
      </c>
      <c r="D37" s="9">
        <v>1090000</v>
      </c>
      <c r="E37" s="9">
        <v>1186000</v>
      </c>
      <c r="F37" s="9">
        <v>1301000</v>
      </c>
      <c r="G37" s="9">
        <v>1330000</v>
      </c>
      <c r="H37" s="9">
        <v>1396000</v>
      </c>
      <c r="I37" s="102">
        <f t="shared" si="1"/>
        <v>8372000</v>
      </c>
      <c r="J37" s="102"/>
      <c r="K37" s="204">
        <f t="shared" si="2"/>
        <v>0.11884854276158624</v>
      </c>
      <c r="L37" s="204">
        <f t="shared" si="3"/>
        <v>0.12828475871954134</v>
      </c>
      <c r="M37" s="204">
        <f t="shared" si="4"/>
        <v>0.13019589106545629</v>
      </c>
      <c r="N37" s="204">
        <f t="shared" si="5"/>
        <v>0.14166268514094602</v>
      </c>
      <c r="O37" s="204">
        <f t="shared" si="6"/>
        <v>0.15539894887720976</v>
      </c>
      <c r="P37" s="204">
        <f t="shared" si="7"/>
        <v>0.15886287625418061</v>
      </c>
      <c r="Q37" s="204">
        <f t="shared" si="8"/>
        <v>0.16674629718107978</v>
      </c>
    </row>
    <row r="38" spans="1:17" ht="12.45" customHeight="1">
      <c r="A38" s="130" t="s">
        <v>212</v>
      </c>
      <c r="B38" s="105">
        <v>511000</v>
      </c>
      <c r="C38" s="9">
        <v>567000</v>
      </c>
      <c r="D38" s="9">
        <v>514000</v>
      </c>
      <c r="E38" s="9">
        <v>559000</v>
      </c>
      <c r="F38" s="9">
        <v>573000</v>
      </c>
      <c r="G38" s="9">
        <v>666000</v>
      </c>
      <c r="H38" s="9">
        <v>647000</v>
      </c>
      <c r="I38" s="102">
        <f t="shared" si="1"/>
        <v>4037000</v>
      </c>
      <c r="J38" s="102"/>
      <c r="K38" s="204">
        <f t="shared" si="2"/>
        <v>0.12657914292791678</v>
      </c>
      <c r="L38" s="204">
        <f t="shared" si="3"/>
        <v>0.14045082982412682</v>
      </c>
      <c r="M38" s="204">
        <f t="shared" si="4"/>
        <v>0.12732226901164231</v>
      </c>
      <c r="N38" s="204">
        <f t="shared" si="5"/>
        <v>0.1384691602675254</v>
      </c>
      <c r="O38" s="204">
        <f t="shared" si="6"/>
        <v>0.1419370819915779</v>
      </c>
      <c r="P38" s="204">
        <f t="shared" si="7"/>
        <v>0.1649739905870696</v>
      </c>
      <c r="Q38" s="204">
        <f t="shared" si="8"/>
        <v>0.16026752539014119</v>
      </c>
    </row>
    <row r="39" spans="1:17" ht="12.45" customHeight="1">
      <c r="A39" s="130" t="s">
        <v>213</v>
      </c>
      <c r="B39" s="105">
        <v>92000</v>
      </c>
      <c r="C39" s="9">
        <v>57000</v>
      </c>
      <c r="D39" s="9">
        <v>54000</v>
      </c>
      <c r="E39" s="9">
        <v>62000</v>
      </c>
      <c r="F39" s="9">
        <v>98000</v>
      </c>
      <c r="G39" s="9">
        <v>76000</v>
      </c>
      <c r="H39" s="9">
        <v>94000</v>
      </c>
      <c r="I39" s="102">
        <f t="shared" si="1"/>
        <v>533000</v>
      </c>
      <c r="J39" s="102"/>
      <c r="K39" s="204">
        <f t="shared" si="2"/>
        <v>0.17260787992495311</v>
      </c>
      <c r="L39" s="204">
        <f t="shared" si="3"/>
        <v>0.10694183864915573</v>
      </c>
      <c r="M39" s="204">
        <f t="shared" si="4"/>
        <v>0.10131332082551595</v>
      </c>
      <c r="N39" s="204">
        <f t="shared" si="5"/>
        <v>0.11632270168855535</v>
      </c>
      <c r="O39" s="204">
        <f t="shared" si="6"/>
        <v>0.18386491557223264</v>
      </c>
      <c r="P39" s="204">
        <f t="shared" si="7"/>
        <v>0.14258911819887429</v>
      </c>
      <c r="Q39" s="204">
        <f t="shared" si="8"/>
        <v>0.17636022514071295</v>
      </c>
    </row>
    <row r="40" spans="1:17" ht="12.45" customHeight="1">
      <c r="A40" s="130" t="s">
        <v>214</v>
      </c>
      <c r="B40" s="105">
        <v>47000</v>
      </c>
      <c r="C40" s="9">
        <v>57000</v>
      </c>
      <c r="D40" s="9">
        <v>70000</v>
      </c>
      <c r="E40" s="9">
        <v>66000</v>
      </c>
      <c r="F40" s="9">
        <v>58000</v>
      </c>
      <c r="G40" s="9">
        <v>77000</v>
      </c>
      <c r="H40" s="9">
        <v>77000</v>
      </c>
      <c r="I40" s="102">
        <f t="shared" si="1"/>
        <v>452000</v>
      </c>
      <c r="J40" s="102"/>
      <c r="K40" s="204">
        <f t="shared" si="2"/>
        <v>0.10398230088495575</v>
      </c>
      <c r="L40" s="204">
        <f t="shared" si="3"/>
        <v>0.12610619469026549</v>
      </c>
      <c r="M40" s="204">
        <f t="shared" si="4"/>
        <v>0.15486725663716813</v>
      </c>
      <c r="N40" s="204">
        <f t="shared" si="5"/>
        <v>0.14601769911504425</v>
      </c>
      <c r="O40" s="204">
        <f t="shared" si="6"/>
        <v>0.12831858407079647</v>
      </c>
      <c r="P40" s="204">
        <f t="shared" si="7"/>
        <v>0.17035398230088494</v>
      </c>
      <c r="Q40" s="204">
        <f t="shared" si="8"/>
        <v>0.17035398230088494</v>
      </c>
    </row>
    <row r="41" spans="1:17" ht="12.45" customHeight="1">
      <c r="A41" s="130" t="s">
        <v>215</v>
      </c>
      <c r="B41" s="105">
        <v>52000</v>
      </c>
      <c r="C41" s="9">
        <v>42000</v>
      </c>
      <c r="D41" s="9">
        <v>33000</v>
      </c>
      <c r="E41" s="9">
        <v>43000</v>
      </c>
      <c r="F41" s="9">
        <v>103000</v>
      </c>
      <c r="G41" s="9">
        <v>53000</v>
      </c>
      <c r="H41" s="9">
        <v>61000</v>
      </c>
      <c r="I41" s="102">
        <f t="shared" si="1"/>
        <v>387000</v>
      </c>
      <c r="J41" s="102"/>
      <c r="K41" s="204">
        <f t="shared" si="2"/>
        <v>0.13436692506459949</v>
      </c>
      <c r="L41" s="204">
        <f t="shared" si="3"/>
        <v>0.10852713178294573</v>
      </c>
      <c r="M41" s="204">
        <f t="shared" si="4"/>
        <v>8.5271317829457363E-2</v>
      </c>
      <c r="N41" s="204">
        <f t="shared" si="5"/>
        <v>0.1111111111111111</v>
      </c>
      <c r="O41" s="204">
        <f t="shared" si="6"/>
        <v>0.26614987080103358</v>
      </c>
      <c r="P41" s="204">
        <f t="shared" si="7"/>
        <v>0.13695090439276486</v>
      </c>
      <c r="Q41" s="204">
        <f t="shared" si="8"/>
        <v>0.15762273901808785</v>
      </c>
    </row>
    <row r="42" spans="1:17" ht="12.45" customHeight="1">
      <c r="A42" s="130" t="s">
        <v>216</v>
      </c>
      <c r="B42" s="105">
        <v>146000</v>
      </c>
      <c r="C42" s="9">
        <v>183000</v>
      </c>
      <c r="D42" s="9">
        <v>192000</v>
      </c>
      <c r="E42" s="9">
        <v>229000</v>
      </c>
      <c r="F42" s="9">
        <v>226000</v>
      </c>
      <c r="G42" s="9">
        <v>224000</v>
      </c>
      <c r="H42" s="9">
        <v>273000</v>
      </c>
      <c r="I42" s="102">
        <f t="shared" si="1"/>
        <v>1473000</v>
      </c>
      <c r="J42" s="102"/>
      <c r="K42" s="204">
        <f t="shared" si="2"/>
        <v>9.9117447386286486E-2</v>
      </c>
      <c r="L42" s="204">
        <f t="shared" si="3"/>
        <v>0.12423625254582485</v>
      </c>
      <c r="M42" s="204">
        <f t="shared" si="4"/>
        <v>0.13034623217922606</v>
      </c>
      <c r="N42" s="204">
        <f t="shared" si="5"/>
        <v>0.15546503733876443</v>
      </c>
      <c r="O42" s="204">
        <f t="shared" si="6"/>
        <v>0.15342837746096402</v>
      </c>
      <c r="P42" s="204">
        <f t="shared" si="7"/>
        <v>0.15207060420909707</v>
      </c>
      <c r="Q42" s="204">
        <f t="shared" si="8"/>
        <v>0.18533604887983707</v>
      </c>
    </row>
    <row r="43" spans="1:17" ht="12.45" customHeight="1">
      <c r="A43" s="130" t="s">
        <v>217</v>
      </c>
      <c r="B43" s="105">
        <v>147000</v>
      </c>
      <c r="C43" s="9">
        <v>168000</v>
      </c>
      <c r="D43" s="9">
        <v>227000</v>
      </c>
      <c r="E43" s="9">
        <v>228000</v>
      </c>
      <c r="F43" s="9">
        <v>242000</v>
      </c>
      <c r="G43" s="9">
        <v>233000</v>
      </c>
      <c r="H43" s="9">
        <v>244000</v>
      </c>
      <c r="I43" s="102">
        <f t="shared" si="1"/>
        <v>1489000</v>
      </c>
      <c r="J43" s="102"/>
      <c r="K43" s="204">
        <f t="shared" si="2"/>
        <v>9.8723975822699803E-2</v>
      </c>
      <c r="L43" s="204">
        <f t="shared" si="3"/>
        <v>0.11282740094022835</v>
      </c>
      <c r="M43" s="204">
        <f t="shared" si="4"/>
        <v>0.15245130960376091</v>
      </c>
      <c r="N43" s="204">
        <f t="shared" si="5"/>
        <v>0.15312290127602418</v>
      </c>
      <c r="O43" s="204">
        <f t="shared" si="6"/>
        <v>0.16252518468770988</v>
      </c>
      <c r="P43" s="204">
        <f t="shared" si="7"/>
        <v>0.15648085963734049</v>
      </c>
      <c r="Q43" s="204">
        <f t="shared" si="8"/>
        <v>0.16386836803223639</v>
      </c>
    </row>
    <row r="44" spans="1:17" ht="12.45" customHeight="1">
      <c r="A44" s="125" t="s">
        <v>218</v>
      </c>
      <c r="B44" s="124">
        <v>2529000</v>
      </c>
      <c r="C44" s="119">
        <v>2980000</v>
      </c>
      <c r="D44" s="119">
        <v>3288000</v>
      </c>
      <c r="E44" s="119">
        <v>3518000</v>
      </c>
      <c r="F44" s="119">
        <v>3846000</v>
      </c>
      <c r="G44" s="119">
        <v>4176000</v>
      </c>
      <c r="H44" s="119">
        <v>4438000</v>
      </c>
      <c r="I44" s="278">
        <f t="shared" si="1"/>
        <v>24775000</v>
      </c>
      <c r="J44" s="278"/>
      <c r="K44" s="279">
        <f t="shared" si="2"/>
        <v>0.1020787083753784</v>
      </c>
      <c r="L44" s="279">
        <f t="shared" si="3"/>
        <v>0.12028254288597376</v>
      </c>
      <c r="M44" s="279">
        <f t="shared" si="4"/>
        <v>0.13271442986881937</v>
      </c>
      <c r="N44" s="279">
        <f t="shared" si="5"/>
        <v>0.14199798183652876</v>
      </c>
      <c r="O44" s="279">
        <f t="shared" si="6"/>
        <v>0.15523713420787083</v>
      </c>
      <c r="P44" s="279">
        <f t="shared" si="7"/>
        <v>0.16855701311806257</v>
      </c>
      <c r="Q44" s="279">
        <f t="shared" si="8"/>
        <v>0.1791321897073663</v>
      </c>
    </row>
    <row r="45" spans="1:17" ht="12.45" customHeight="1">
      <c r="A45" s="120" t="s">
        <v>178</v>
      </c>
      <c r="B45" s="105">
        <v>1821000</v>
      </c>
      <c r="C45" s="9">
        <v>2204000</v>
      </c>
      <c r="D45" s="9">
        <v>2482000</v>
      </c>
      <c r="E45" s="9">
        <v>2707000</v>
      </c>
      <c r="F45" s="9">
        <v>2918000</v>
      </c>
      <c r="G45" s="9">
        <v>3251000</v>
      </c>
      <c r="H45" s="9">
        <v>3499000</v>
      </c>
      <c r="I45" s="102">
        <f t="shared" si="1"/>
        <v>18882000</v>
      </c>
      <c r="J45" s="102"/>
      <c r="K45" s="204">
        <f t="shared" si="2"/>
        <v>9.6441054972990145E-2</v>
      </c>
      <c r="L45" s="204">
        <f t="shared" si="3"/>
        <v>0.11672492320728736</v>
      </c>
      <c r="M45" s="204">
        <f t="shared" si="4"/>
        <v>0.13144793983688169</v>
      </c>
      <c r="N45" s="204">
        <f t="shared" si="5"/>
        <v>0.14336405041838787</v>
      </c>
      <c r="O45" s="204">
        <f t="shared" si="6"/>
        <v>0.15453871411926703</v>
      </c>
      <c r="P45" s="204">
        <f t="shared" si="7"/>
        <v>0.17217455777989621</v>
      </c>
      <c r="Q45" s="204">
        <f t="shared" si="8"/>
        <v>0.1853087596652897</v>
      </c>
    </row>
    <row r="46" spans="1:17" ht="12.45" customHeight="1">
      <c r="A46" s="185" t="s">
        <v>179</v>
      </c>
      <c r="B46" s="105">
        <v>184000</v>
      </c>
      <c r="C46" s="9">
        <v>237000</v>
      </c>
      <c r="D46" s="9">
        <v>291000</v>
      </c>
      <c r="E46" s="9">
        <v>270000</v>
      </c>
      <c r="F46" s="9">
        <v>321000</v>
      </c>
      <c r="G46" s="9">
        <v>344000</v>
      </c>
      <c r="H46" s="9">
        <v>371000</v>
      </c>
      <c r="I46" s="102">
        <f t="shared" si="1"/>
        <v>2018000</v>
      </c>
      <c r="J46" s="102"/>
      <c r="K46" s="204">
        <f t="shared" si="2"/>
        <v>9.1179385530227947E-2</v>
      </c>
      <c r="L46" s="204">
        <f t="shared" si="3"/>
        <v>0.1174430128840436</v>
      </c>
      <c r="M46" s="204">
        <f t="shared" si="4"/>
        <v>0.14420218037661051</v>
      </c>
      <c r="N46" s="204">
        <f t="shared" si="5"/>
        <v>0.13379583746283449</v>
      </c>
      <c r="O46" s="204">
        <f t="shared" si="6"/>
        <v>0.15906838453914768</v>
      </c>
      <c r="P46" s="204">
        <f t="shared" si="7"/>
        <v>0.17046580773042616</v>
      </c>
      <c r="Q46" s="204">
        <f t="shared" si="8"/>
        <v>0.18384539147670961</v>
      </c>
    </row>
    <row r="47" spans="1:17" ht="12.45" customHeight="1">
      <c r="A47" s="122" t="s">
        <v>180</v>
      </c>
      <c r="B47" s="105">
        <v>23000</v>
      </c>
      <c r="C47" s="9">
        <v>35000</v>
      </c>
      <c r="D47" s="9">
        <v>28000</v>
      </c>
      <c r="E47" s="9">
        <v>22000</v>
      </c>
      <c r="F47" s="9">
        <v>24000</v>
      </c>
      <c r="G47" s="9">
        <v>31000</v>
      </c>
      <c r="H47" s="9">
        <v>39000</v>
      </c>
      <c r="I47" s="102">
        <f t="shared" si="1"/>
        <v>202000</v>
      </c>
      <c r="J47" s="102"/>
      <c r="K47" s="204">
        <f t="shared" si="2"/>
        <v>0.11386138613861387</v>
      </c>
      <c r="L47" s="204">
        <f t="shared" si="3"/>
        <v>0.17326732673267325</v>
      </c>
      <c r="M47" s="204">
        <f t="shared" si="4"/>
        <v>0.13861386138613863</v>
      </c>
      <c r="N47" s="204">
        <f t="shared" si="5"/>
        <v>0.10891089108910891</v>
      </c>
      <c r="O47" s="204">
        <f t="shared" si="6"/>
        <v>0.11881188118811881</v>
      </c>
      <c r="P47" s="204">
        <f t="shared" si="7"/>
        <v>0.15346534653465346</v>
      </c>
      <c r="Q47" s="204">
        <f t="shared" si="8"/>
        <v>0.19306930693069307</v>
      </c>
    </row>
    <row r="48" spans="1:17" ht="12.45" customHeight="1">
      <c r="A48" s="122" t="s">
        <v>181</v>
      </c>
      <c r="B48" s="105">
        <v>125000</v>
      </c>
      <c r="C48" s="9">
        <v>170000</v>
      </c>
      <c r="D48" s="9">
        <v>223000</v>
      </c>
      <c r="E48" s="9">
        <v>204000</v>
      </c>
      <c r="F48" s="9">
        <v>265000</v>
      </c>
      <c r="G48" s="9">
        <v>266000</v>
      </c>
      <c r="H48" s="9">
        <v>281000</v>
      </c>
      <c r="I48" s="102">
        <f t="shared" si="1"/>
        <v>1534000</v>
      </c>
      <c r="J48" s="102"/>
      <c r="K48" s="204">
        <f t="shared" si="2"/>
        <v>8.1486310299869621E-2</v>
      </c>
      <c r="L48" s="204">
        <f t="shared" si="3"/>
        <v>0.11082138200782268</v>
      </c>
      <c r="M48" s="204">
        <f t="shared" si="4"/>
        <v>0.14537157757496741</v>
      </c>
      <c r="N48" s="204">
        <f t="shared" si="5"/>
        <v>0.13298565840938723</v>
      </c>
      <c r="O48" s="204">
        <f t="shared" si="6"/>
        <v>0.1727509778357236</v>
      </c>
      <c r="P48" s="204">
        <f t="shared" si="7"/>
        <v>0.17340286831812254</v>
      </c>
      <c r="Q48" s="204">
        <f t="shared" si="8"/>
        <v>0.1831812255541069</v>
      </c>
    </row>
    <row r="49" spans="1:17" ht="12.45" customHeight="1">
      <c r="A49" s="122" t="s">
        <v>182</v>
      </c>
      <c r="B49" s="105">
        <v>36000</v>
      </c>
      <c r="C49" s="9">
        <v>32000</v>
      </c>
      <c r="D49" s="9">
        <v>39000</v>
      </c>
      <c r="E49" s="9">
        <v>44000</v>
      </c>
      <c r="F49" s="9">
        <v>31000</v>
      </c>
      <c r="G49" s="9">
        <v>47000</v>
      </c>
      <c r="H49" s="9">
        <v>51000</v>
      </c>
      <c r="I49" s="102">
        <f t="shared" si="1"/>
        <v>280000</v>
      </c>
      <c r="J49" s="102"/>
      <c r="K49" s="204">
        <f t="shared" si="2"/>
        <v>0.12857142857142856</v>
      </c>
      <c r="L49" s="204">
        <f t="shared" si="3"/>
        <v>0.11428571428571428</v>
      </c>
      <c r="M49" s="204">
        <f t="shared" si="4"/>
        <v>0.13928571428571429</v>
      </c>
      <c r="N49" s="204">
        <f t="shared" si="5"/>
        <v>0.15714285714285714</v>
      </c>
      <c r="O49" s="204">
        <f t="shared" si="6"/>
        <v>0.11071428571428571</v>
      </c>
      <c r="P49" s="204">
        <f t="shared" si="7"/>
        <v>0.16785714285714284</v>
      </c>
      <c r="Q49" s="204">
        <f t="shared" si="8"/>
        <v>0.18214285714285713</v>
      </c>
    </row>
    <row r="50" spans="1:17" ht="12.45" customHeight="1">
      <c r="A50" s="121" t="s">
        <v>183</v>
      </c>
      <c r="B50" s="105">
        <v>454000</v>
      </c>
      <c r="C50" s="9">
        <v>640000</v>
      </c>
      <c r="D50" s="9">
        <v>757000</v>
      </c>
      <c r="E50" s="9">
        <v>808000</v>
      </c>
      <c r="F50" s="9">
        <v>879000</v>
      </c>
      <c r="G50" s="9">
        <v>1032000</v>
      </c>
      <c r="H50" s="9">
        <v>1137000</v>
      </c>
      <c r="I50" s="102">
        <f t="shared" si="1"/>
        <v>5707000</v>
      </c>
      <c r="J50" s="102"/>
      <c r="K50" s="204">
        <f t="shared" si="2"/>
        <v>7.9551428070790256E-2</v>
      </c>
      <c r="L50" s="204">
        <f t="shared" si="3"/>
        <v>0.11214298230243561</v>
      </c>
      <c r="M50" s="204">
        <f t="shared" si="4"/>
        <v>0.13264412125459962</v>
      </c>
      <c r="N50" s="204">
        <f t="shared" si="5"/>
        <v>0.14158051515682496</v>
      </c>
      <c r="O50" s="204">
        <f t="shared" si="6"/>
        <v>0.1540213772560014</v>
      </c>
      <c r="P50" s="204">
        <f t="shared" si="7"/>
        <v>0.18083055896267741</v>
      </c>
      <c r="Q50" s="204">
        <f t="shared" si="8"/>
        <v>0.19922901699667075</v>
      </c>
    </row>
    <row r="51" spans="1:17" ht="12.45" customHeight="1">
      <c r="A51" s="122" t="s">
        <v>184</v>
      </c>
      <c r="B51" s="105">
        <v>366000</v>
      </c>
      <c r="C51" s="9">
        <v>552000</v>
      </c>
      <c r="D51" s="9">
        <v>661000</v>
      </c>
      <c r="E51" s="9">
        <v>721000</v>
      </c>
      <c r="F51" s="9">
        <v>807000</v>
      </c>
      <c r="G51" s="9">
        <v>915000</v>
      </c>
      <c r="H51" s="9">
        <v>1024000</v>
      </c>
      <c r="I51" s="102">
        <f t="shared" si="1"/>
        <v>5046000</v>
      </c>
      <c r="J51" s="102"/>
      <c r="K51" s="204">
        <f t="shared" si="2"/>
        <v>7.2532699167657547E-2</v>
      </c>
      <c r="L51" s="204">
        <f t="shared" si="3"/>
        <v>0.10939357907253269</v>
      </c>
      <c r="M51" s="204">
        <f t="shared" si="4"/>
        <v>0.13099484740388426</v>
      </c>
      <c r="N51" s="204">
        <f t="shared" si="5"/>
        <v>0.14288545382481174</v>
      </c>
      <c r="O51" s="204">
        <f t="shared" si="6"/>
        <v>0.15992865636147444</v>
      </c>
      <c r="P51" s="204">
        <f t="shared" si="7"/>
        <v>0.18133174791914389</v>
      </c>
      <c r="Q51" s="204">
        <f t="shared" si="8"/>
        <v>0.20293301625049545</v>
      </c>
    </row>
    <row r="52" spans="1:17" ht="12.45" customHeight="1">
      <c r="A52" s="122" t="s">
        <v>185</v>
      </c>
      <c r="B52" s="105">
        <v>88000</v>
      </c>
      <c r="C52" s="9">
        <v>88000</v>
      </c>
      <c r="D52" s="9">
        <v>95000</v>
      </c>
      <c r="E52" s="9">
        <v>87000</v>
      </c>
      <c r="F52" s="9">
        <v>72000</v>
      </c>
      <c r="G52" s="9">
        <v>117000</v>
      </c>
      <c r="H52" s="9">
        <v>113000</v>
      </c>
      <c r="I52" s="102">
        <f t="shared" si="1"/>
        <v>660000</v>
      </c>
      <c r="J52" s="102"/>
      <c r="K52" s="204">
        <f t="shared" si="2"/>
        <v>0.13333333333333333</v>
      </c>
      <c r="L52" s="204">
        <f t="shared" si="3"/>
        <v>0.13333333333333333</v>
      </c>
      <c r="M52" s="204">
        <f t="shared" si="4"/>
        <v>0.14393939393939395</v>
      </c>
      <c r="N52" s="204">
        <f t="shared" si="5"/>
        <v>0.13181818181818181</v>
      </c>
      <c r="O52" s="204">
        <f t="shared" si="6"/>
        <v>0.10909090909090909</v>
      </c>
      <c r="P52" s="204">
        <f t="shared" si="7"/>
        <v>0.17727272727272728</v>
      </c>
      <c r="Q52" s="204">
        <f t="shared" si="8"/>
        <v>0.1712121212121212</v>
      </c>
    </row>
    <row r="53" spans="1:17" ht="12.45" customHeight="1">
      <c r="A53" s="121" t="s">
        <v>186</v>
      </c>
      <c r="B53" s="105">
        <v>144000</v>
      </c>
      <c r="C53" s="9">
        <v>148000</v>
      </c>
      <c r="D53" s="9">
        <v>150000</v>
      </c>
      <c r="E53" s="9">
        <v>159000</v>
      </c>
      <c r="F53" s="9">
        <v>147000</v>
      </c>
      <c r="G53" s="9">
        <v>194000</v>
      </c>
      <c r="H53" s="9">
        <v>199000</v>
      </c>
      <c r="I53" s="102">
        <f t="shared" si="1"/>
        <v>1141000</v>
      </c>
      <c r="J53" s="102"/>
      <c r="K53" s="204">
        <f t="shared" si="2"/>
        <v>0.12620508326029797</v>
      </c>
      <c r="L53" s="204">
        <f t="shared" si="3"/>
        <v>0.12971078001752848</v>
      </c>
      <c r="M53" s="204">
        <f t="shared" si="4"/>
        <v>0.13146362839614373</v>
      </c>
      <c r="N53" s="204">
        <f t="shared" si="5"/>
        <v>0.13935144609991235</v>
      </c>
      <c r="O53" s="204">
        <f t="shared" si="6"/>
        <v>0.12883435582822086</v>
      </c>
      <c r="P53" s="204">
        <f t="shared" si="7"/>
        <v>0.17002629272567923</v>
      </c>
      <c r="Q53" s="204">
        <f t="shared" si="8"/>
        <v>0.17440841367221735</v>
      </c>
    </row>
    <row r="54" spans="1:17" ht="12.45" customHeight="1">
      <c r="A54" s="122" t="s">
        <v>187</v>
      </c>
      <c r="B54" s="105">
        <v>68000</v>
      </c>
      <c r="C54" s="9">
        <v>73000</v>
      </c>
      <c r="D54" s="9">
        <v>73000</v>
      </c>
      <c r="E54" s="9">
        <v>86000</v>
      </c>
      <c r="F54" s="9">
        <v>73000</v>
      </c>
      <c r="G54" s="9">
        <v>91000</v>
      </c>
      <c r="H54" s="9">
        <v>93000</v>
      </c>
      <c r="I54" s="102">
        <f t="shared" si="1"/>
        <v>557000</v>
      </c>
      <c r="J54" s="102"/>
      <c r="K54" s="204">
        <f t="shared" si="2"/>
        <v>0.12208258527827648</v>
      </c>
      <c r="L54" s="204">
        <f t="shared" si="3"/>
        <v>0.1310592459605027</v>
      </c>
      <c r="M54" s="204">
        <f t="shared" si="4"/>
        <v>0.1310592459605027</v>
      </c>
      <c r="N54" s="204">
        <f t="shared" si="5"/>
        <v>0.15439856373429084</v>
      </c>
      <c r="O54" s="204">
        <f t="shared" si="6"/>
        <v>0.1310592459605027</v>
      </c>
      <c r="P54" s="204">
        <f t="shared" si="7"/>
        <v>0.16337522441651706</v>
      </c>
      <c r="Q54" s="204">
        <f t="shared" si="8"/>
        <v>0.16696588868940754</v>
      </c>
    </row>
    <row r="55" spans="1:17">
      <c r="A55" s="122" t="s">
        <v>188</v>
      </c>
      <c r="B55" s="107">
        <v>42000</v>
      </c>
      <c r="C55" s="7">
        <v>38000</v>
      </c>
      <c r="D55" s="7">
        <v>40000</v>
      </c>
      <c r="E55" s="7">
        <v>39000</v>
      </c>
      <c r="F55" s="7">
        <v>39000</v>
      </c>
      <c r="G55" s="7">
        <v>59000</v>
      </c>
      <c r="H55" s="7">
        <v>54000</v>
      </c>
      <c r="I55" s="102">
        <f t="shared" si="1"/>
        <v>311000</v>
      </c>
      <c r="J55" s="102"/>
      <c r="K55" s="204">
        <f t="shared" si="2"/>
        <v>0.13504823151125403</v>
      </c>
      <c r="L55" s="204">
        <f t="shared" si="3"/>
        <v>0.12218649517684887</v>
      </c>
      <c r="M55" s="204">
        <f t="shared" si="4"/>
        <v>0.12861736334405144</v>
      </c>
      <c r="N55" s="204">
        <f t="shared" si="5"/>
        <v>0.12540192926045016</v>
      </c>
      <c r="O55" s="204">
        <f t="shared" si="6"/>
        <v>0.12540192926045016</v>
      </c>
      <c r="P55" s="204">
        <f t="shared" si="7"/>
        <v>0.18971061093247588</v>
      </c>
      <c r="Q55" s="204">
        <f t="shared" si="8"/>
        <v>0.17363344051446947</v>
      </c>
    </row>
    <row r="56" spans="1:17">
      <c r="A56" s="122" t="s">
        <v>189</v>
      </c>
      <c r="B56" s="105">
        <v>29000</v>
      </c>
      <c r="C56" s="9">
        <v>33000</v>
      </c>
      <c r="D56" s="9">
        <v>33000</v>
      </c>
      <c r="E56" s="9">
        <v>31000</v>
      </c>
      <c r="F56" s="9">
        <v>29000</v>
      </c>
      <c r="G56" s="9">
        <v>40000</v>
      </c>
      <c r="H56" s="9">
        <v>49000</v>
      </c>
      <c r="I56" s="102">
        <f t="shared" si="1"/>
        <v>244000</v>
      </c>
      <c r="J56" s="102"/>
      <c r="K56" s="204">
        <f t="shared" si="2"/>
        <v>0.11885245901639344</v>
      </c>
      <c r="L56" s="204">
        <f t="shared" si="3"/>
        <v>0.13524590163934427</v>
      </c>
      <c r="M56" s="204">
        <f t="shared" si="4"/>
        <v>0.13524590163934427</v>
      </c>
      <c r="N56" s="204">
        <f t="shared" si="5"/>
        <v>0.12704918032786885</v>
      </c>
      <c r="O56" s="204">
        <f t="shared" si="6"/>
        <v>0.11885245901639344</v>
      </c>
      <c r="P56" s="204">
        <f t="shared" si="7"/>
        <v>0.16393442622950818</v>
      </c>
      <c r="Q56" s="204">
        <f t="shared" si="8"/>
        <v>0.20081967213114754</v>
      </c>
    </row>
    <row r="57" spans="1:17">
      <c r="A57" s="122" t="s">
        <v>190</v>
      </c>
      <c r="B57" s="105">
        <v>5000</v>
      </c>
      <c r="C57" s="9">
        <v>4000</v>
      </c>
      <c r="D57" s="9">
        <v>4000</v>
      </c>
      <c r="E57" s="13" t="s">
        <v>191</v>
      </c>
      <c r="F57" s="9">
        <v>7000</v>
      </c>
      <c r="G57" s="13" t="s">
        <v>191</v>
      </c>
      <c r="H57" s="13" t="s">
        <v>191</v>
      </c>
      <c r="I57" s="102">
        <f t="shared" si="1"/>
        <v>20000</v>
      </c>
      <c r="J57" s="102"/>
      <c r="K57" s="204">
        <f t="shared" si="2"/>
        <v>0.25</v>
      </c>
      <c r="L57" s="204">
        <f t="shared" si="3"/>
        <v>0.2</v>
      </c>
      <c r="M57" s="204">
        <f t="shared" si="4"/>
        <v>0.2</v>
      </c>
      <c r="N57" s="204" t="e">
        <f t="shared" si="5"/>
        <v>#VALUE!</v>
      </c>
      <c r="O57" s="204">
        <f t="shared" si="6"/>
        <v>0.35</v>
      </c>
      <c r="P57" s="204" t="e">
        <f t="shared" si="7"/>
        <v>#VALUE!</v>
      </c>
      <c r="Q57" s="204" t="e">
        <f t="shared" si="8"/>
        <v>#VALUE!</v>
      </c>
    </row>
    <row r="58" spans="1:17">
      <c r="A58" s="121" t="s">
        <v>192</v>
      </c>
      <c r="B58" s="105">
        <v>159000</v>
      </c>
      <c r="C58" s="9">
        <v>207000</v>
      </c>
      <c r="D58" s="9">
        <v>226000</v>
      </c>
      <c r="E58" s="9">
        <v>272000</v>
      </c>
      <c r="F58" s="9">
        <v>305000</v>
      </c>
      <c r="G58" s="9">
        <v>327000</v>
      </c>
      <c r="H58" s="9">
        <v>321000</v>
      </c>
      <c r="I58" s="102">
        <f t="shared" si="1"/>
        <v>1817000</v>
      </c>
      <c r="J58" s="102"/>
      <c r="K58" s="204">
        <f t="shared" si="2"/>
        <v>8.7506879471656571E-2</v>
      </c>
      <c r="L58" s="204">
        <f t="shared" si="3"/>
        <v>0.11392405063291139</v>
      </c>
      <c r="M58" s="204">
        <f t="shared" si="4"/>
        <v>0.12438084755090809</v>
      </c>
      <c r="N58" s="204">
        <f t="shared" si="5"/>
        <v>0.14969730324711061</v>
      </c>
      <c r="O58" s="204">
        <f t="shared" si="6"/>
        <v>0.1678591084204733</v>
      </c>
      <c r="P58" s="204">
        <f t="shared" si="7"/>
        <v>0.17996697853604843</v>
      </c>
      <c r="Q58" s="204">
        <f t="shared" si="8"/>
        <v>0.17666483214089157</v>
      </c>
    </row>
    <row r="59" spans="1:17">
      <c r="A59" s="122" t="s">
        <v>193</v>
      </c>
      <c r="B59" s="105">
        <v>34000</v>
      </c>
      <c r="C59" s="9">
        <v>37000</v>
      </c>
      <c r="D59" s="9">
        <v>38000</v>
      </c>
      <c r="E59" s="9">
        <v>57000</v>
      </c>
      <c r="F59" s="9">
        <v>70000</v>
      </c>
      <c r="G59" s="9">
        <v>79000</v>
      </c>
      <c r="H59" s="9">
        <v>67000</v>
      </c>
      <c r="I59" s="102">
        <f t="shared" si="1"/>
        <v>382000</v>
      </c>
      <c r="J59" s="102"/>
      <c r="K59" s="204">
        <f t="shared" si="2"/>
        <v>8.9005235602094238E-2</v>
      </c>
      <c r="L59" s="204">
        <f t="shared" si="3"/>
        <v>9.6858638743455502E-2</v>
      </c>
      <c r="M59" s="204">
        <f t="shared" si="4"/>
        <v>9.947643979057591E-2</v>
      </c>
      <c r="N59" s="204">
        <f t="shared" si="5"/>
        <v>0.14921465968586387</v>
      </c>
      <c r="O59" s="204">
        <f t="shared" si="6"/>
        <v>0.18324607329842932</v>
      </c>
      <c r="P59" s="204">
        <f t="shared" si="7"/>
        <v>0.20680628272251309</v>
      </c>
      <c r="Q59" s="204">
        <f t="shared" si="8"/>
        <v>0.17539267015706805</v>
      </c>
    </row>
    <row r="60" spans="1:17">
      <c r="A60" s="122" t="s">
        <v>194</v>
      </c>
      <c r="B60" s="105">
        <v>35000</v>
      </c>
      <c r="C60" s="9">
        <v>37000</v>
      </c>
      <c r="D60" s="9">
        <v>39000</v>
      </c>
      <c r="E60" s="9">
        <v>33000</v>
      </c>
      <c r="F60" s="9">
        <v>52000</v>
      </c>
      <c r="G60" s="9">
        <v>48000</v>
      </c>
      <c r="H60" s="9">
        <v>52000</v>
      </c>
      <c r="I60" s="102">
        <f t="shared" si="1"/>
        <v>296000</v>
      </c>
      <c r="J60" s="102"/>
      <c r="K60" s="204">
        <f t="shared" si="2"/>
        <v>0.11824324324324324</v>
      </c>
      <c r="L60" s="204">
        <f t="shared" si="3"/>
        <v>0.125</v>
      </c>
      <c r="M60" s="204">
        <f t="shared" si="4"/>
        <v>0.13175675675675674</v>
      </c>
      <c r="N60" s="204">
        <f t="shared" si="5"/>
        <v>0.11148648648648649</v>
      </c>
      <c r="O60" s="204">
        <f t="shared" si="6"/>
        <v>0.17567567567567569</v>
      </c>
      <c r="P60" s="204">
        <f t="shared" si="7"/>
        <v>0.16216216216216217</v>
      </c>
      <c r="Q60" s="204">
        <f t="shared" si="8"/>
        <v>0.17567567567567569</v>
      </c>
    </row>
    <row r="61" spans="1:17">
      <c r="A61" s="122" t="s">
        <v>195</v>
      </c>
      <c r="B61" s="105">
        <v>45000</v>
      </c>
      <c r="C61" s="9">
        <v>73000</v>
      </c>
      <c r="D61" s="9">
        <v>77000</v>
      </c>
      <c r="E61" s="9">
        <v>88000</v>
      </c>
      <c r="F61" s="9">
        <v>101000</v>
      </c>
      <c r="G61" s="9">
        <v>116000</v>
      </c>
      <c r="H61" s="9">
        <v>108000</v>
      </c>
      <c r="I61" s="102">
        <f t="shared" si="1"/>
        <v>608000</v>
      </c>
      <c r="J61" s="102"/>
      <c r="K61" s="204">
        <f t="shared" si="2"/>
        <v>7.4013157894736836E-2</v>
      </c>
      <c r="L61" s="204">
        <f t="shared" si="3"/>
        <v>0.12006578947368421</v>
      </c>
      <c r="M61" s="204">
        <f t="shared" si="4"/>
        <v>0.12664473684210525</v>
      </c>
      <c r="N61" s="204">
        <f t="shared" si="5"/>
        <v>0.14473684210526316</v>
      </c>
      <c r="O61" s="204">
        <f t="shared" si="6"/>
        <v>0.16611842105263158</v>
      </c>
      <c r="P61" s="204">
        <f t="shared" si="7"/>
        <v>0.19078947368421054</v>
      </c>
      <c r="Q61" s="204">
        <f t="shared" si="8"/>
        <v>0.17763157894736842</v>
      </c>
    </row>
    <row r="62" spans="1:17">
      <c r="A62" s="122" t="s">
        <v>196</v>
      </c>
      <c r="B62" s="105">
        <v>26000</v>
      </c>
      <c r="C62" s="9">
        <v>26000</v>
      </c>
      <c r="D62" s="9">
        <v>38000</v>
      </c>
      <c r="E62" s="9">
        <v>42000</v>
      </c>
      <c r="F62" s="9">
        <v>50000</v>
      </c>
      <c r="G62" s="9">
        <v>45000</v>
      </c>
      <c r="H62" s="9">
        <v>54000</v>
      </c>
      <c r="I62" s="102">
        <f t="shared" si="1"/>
        <v>281000</v>
      </c>
      <c r="J62" s="102"/>
      <c r="K62" s="204">
        <f t="shared" si="2"/>
        <v>9.2526690391459068E-2</v>
      </c>
      <c r="L62" s="204">
        <f t="shared" si="3"/>
        <v>9.2526690391459068E-2</v>
      </c>
      <c r="M62" s="204">
        <f t="shared" si="4"/>
        <v>0.13523131672597866</v>
      </c>
      <c r="N62" s="204">
        <f t="shared" si="5"/>
        <v>0.1494661921708185</v>
      </c>
      <c r="O62" s="204">
        <f t="shared" si="6"/>
        <v>0.17793594306049823</v>
      </c>
      <c r="P62" s="204">
        <f t="shared" si="7"/>
        <v>0.16014234875444841</v>
      </c>
      <c r="Q62" s="204">
        <f t="shared" si="8"/>
        <v>0.19217081850533807</v>
      </c>
    </row>
    <row r="63" spans="1:17">
      <c r="A63" s="122" t="s">
        <v>197</v>
      </c>
      <c r="B63" s="105">
        <v>19000</v>
      </c>
      <c r="C63" s="9">
        <v>34000</v>
      </c>
      <c r="D63" s="9">
        <v>35000</v>
      </c>
      <c r="E63" s="9">
        <v>51000</v>
      </c>
      <c r="F63" s="9">
        <v>32000</v>
      </c>
      <c r="G63" s="9">
        <v>39000</v>
      </c>
      <c r="H63" s="9">
        <v>39000</v>
      </c>
      <c r="I63" s="102">
        <f t="shared" si="1"/>
        <v>249000</v>
      </c>
      <c r="J63" s="102"/>
      <c r="K63" s="204">
        <f t="shared" si="2"/>
        <v>7.6305220883534142E-2</v>
      </c>
      <c r="L63" s="204">
        <f t="shared" si="3"/>
        <v>0.13654618473895583</v>
      </c>
      <c r="M63" s="204">
        <f t="shared" si="4"/>
        <v>0.14056224899598393</v>
      </c>
      <c r="N63" s="204">
        <f t="shared" si="5"/>
        <v>0.20481927710843373</v>
      </c>
      <c r="O63" s="204">
        <f t="shared" si="6"/>
        <v>0.12851405622489959</v>
      </c>
      <c r="P63" s="204">
        <f t="shared" si="7"/>
        <v>0.15662650602409639</v>
      </c>
      <c r="Q63" s="204">
        <f t="shared" si="8"/>
        <v>0.15662650602409639</v>
      </c>
    </row>
    <row r="64" spans="1:17">
      <c r="A64" s="121" t="s">
        <v>198</v>
      </c>
      <c r="B64" s="105">
        <v>880000</v>
      </c>
      <c r="C64" s="9">
        <v>973000</v>
      </c>
      <c r="D64" s="9">
        <v>1058000</v>
      </c>
      <c r="E64" s="9">
        <v>1197000</v>
      </c>
      <c r="F64" s="9">
        <v>1265000</v>
      </c>
      <c r="G64" s="9">
        <v>1355000</v>
      </c>
      <c r="H64" s="9">
        <v>1470000</v>
      </c>
      <c r="I64" s="102">
        <f t="shared" si="1"/>
        <v>8198000</v>
      </c>
      <c r="J64" s="102"/>
      <c r="K64" s="204">
        <f t="shared" si="2"/>
        <v>0.10734325445230544</v>
      </c>
      <c r="L64" s="204">
        <f t="shared" si="3"/>
        <v>0.11868748475237863</v>
      </c>
      <c r="M64" s="204">
        <f t="shared" si="4"/>
        <v>0.12905586728470358</v>
      </c>
      <c r="N64" s="204">
        <f t="shared" si="5"/>
        <v>0.14601122224932911</v>
      </c>
      <c r="O64" s="204">
        <f t="shared" si="6"/>
        <v>0.15430592827518907</v>
      </c>
      <c r="P64" s="204">
        <f t="shared" si="7"/>
        <v>0.16528421566235668</v>
      </c>
      <c r="Q64" s="204">
        <f t="shared" si="8"/>
        <v>0.17931202732373749</v>
      </c>
    </row>
    <row r="65" spans="1:17">
      <c r="A65" s="123" t="s">
        <v>199</v>
      </c>
      <c r="B65" s="105">
        <v>25000</v>
      </c>
      <c r="C65" s="9">
        <v>22000</v>
      </c>
      <c r="D65" s="9">
        <v>29000</v>
      </c>
      <c r="E65" s="9">
        <v>40000</v>
      </c>
      <c r="F65" s="9">
        <v>32000</v>
      </c>
      <c r="G65" s="9">
        <v>47000</v>
      </c>
      <c r="H65" s="9">
        <v>47000</v>
      </c>
      <c r="I65" s="102">
        <f t="shared" si="1"/>
        <v>242000</v>
      </c>
      <c r="J65" s="102"/>
      <c r="K65" s="204">
        <f t="shared" si="2"/>
        <v>0.10330578512396695</v>
      </c>
      <c r="L65" s="204">
        <f t="shared" si="3"/>
        <v>9.0909090909090912E-2</v>
      </c>
      <c r="M65" s="204">
        <f t="shared" si="4"/>
        <v>0.11983471074380166</v>
      </c>
      <c r="N65" s="204">
        <f t="shared" si="5"/>
        <v>0.16528925619834711</v>
      </c>
      <c r="O65" s="204">
        <f t="shared" si="6"/>
        <v>0.13223140495867769</v>
      </c>
      <c r="P65" s="204">
        <f t="shared" si="7"/>
        <v>0.19421487603305784</v>
      </c>
      <c r="Q65" s="204">
        <f t="shared" si="8"/>
        <v>0.19421487603305784</v>
      </c>
    </row>
    <row r="66" spans="1:17">
      <c r="A66" s="122" t="s">
        <v>200</v>
      </c>
      <c r="B66" s="105">
        <v>59000</v>
      </c>
      <c r="C66" s="9">
        <v>66000</v>
      </c>
      <c r="D66" s="9">
        <v>71000</v>
      </c>
      <c r="E66" s="9">
        <v>83000</v>
      </c>
      <c r="F66" s="9">
        <v>95000</v>
      </c>
      <c r="G66" s="9">
        <v>98000</v>
      </c>
      <c r="H66" s="9">
        <v>112000</v>
      </c>
      <c r="I66" s="102">
        <f t="shared" si="1"/>
        <v>584000</v>
      </c>
      <c r="J66" s="102"/>
      <c r="K66" s="204">
        <f t="shared" si="2"/>
        <v>0.10102739726027397</v>
      </c>
      <c r="L66" s="204">
        <f t="shared" si="3"/>
        <v>0.11301369863013698</v>
      </c>
      <c r="M66" s="204">
        <f t="shared" si="4"/>
        <v>0.12157534246575342</v>
      </c>
      <c r="N66" s="204">
        <f t="shared" si="5"/>
        <v>0.14212328767123289</v>
      </c>
      <c r="O66" s="204">
        <f t="shared" si="6"/>
        <v>0.16267123287671234</v>
      </c>
      <c r="P66" s="204">
        <f t="shared" si="7"/>
        <v>0.1678082191780822</v>
      </c>
      <c r="Q66" s="204">
        <f t="shared" si="8"/>
        <v>0.19178082191780821</v>
      </c>
    </row>
    <row r="67" spans="1:17">
      <c r="A67" s="122" t="s">
        <v>201</v>
      </c>
      <c r="B67" s="105">
        <v>157000</v>
      </c>
      <c r="C67" s="9">
        <v>163000</v>
      </c>
      <c r="D67" s="9">
        <v>154000</v>
      </c>
      <c r="E67" s="9">
        <v>150000</v>
      </c>
      <c r="F67" s="9">
        <v>169000</v>
      </c>
      <c r="G67" s="9">
        <v>182000</v>
      </c>
      <c r="H67" s="9">
        <v>194000</v>
      </c>
      <c r="I67" s="102">
        <f t="shared" si="1"/>
        <v>1169000</v>
      </c>
      <c r="J67" s="102"/>
      <c r="K67" s="204">
        <f t="shared" si="2"/>
        <v>0.13430282292557741</v>
      </c>
      <c r="L67" s="204">
        <f t="shared" si="3"/>
        <v>0.13943541488451669</v>
      </c>
      <c r="M67" s="204">
        <f t="shared" si="4"/>
        <v>0.1317365269461078</v>
      </c>
      <c r="N67" s="204">
        <f t="shared" si="5"/>
        <v>0.12831479897348161</v>
      </c>
      <c r="O67" s="204">
        <f t="shared" si="6"/>
        <v>0.14456800684345594</v>
      </c>
      <c r="P67" s="204">
        <f t="shared" si="7"/>
        <v>0.15568862275449102</v>
      </c>
      <c r="Q67" s="204">
        <f t="shared" si="8"/>
        <v>0.16595380667236956</v>
      </c>
    </row>
    <row r="68" spans="1:17">
      <c r="A68" s="122" t="s">
        <v>202</v>
      </c>
      <c r="B68" s="105">
        <v>312000</v>
      </c>
      <c r="C68" s="9">
        <v>364000</v>
      </c>
      <c r="D68" s="9">
        <v>402000</v>
      </c>
      <c r="E68" s="9">
        <v>476000</v>
      </c>
      <c r="F68" s="9">
        <v>516000</v>
      </c>
      <c r="G68" s="9">
        <v>523000</v>
      </c>
      <c r="H68" s="9">
        <v>569000</v>
      </c>
      <c r="I68" s="102">
        <f t="shared" si="1"/>
        <v>3162000</v>
      </c>
      <c r="J68" s="102"/>
      <c r="K68" s="204">
        <f t="shared" si="2"/>
        <v>9.8671726755218223E-2</v>
      </c>
      <c r="L68" s="204">
        <f t="shared" si="3"/>
        <v>0.11511701454775458</v>
      </c>
      <c r="M68" s="204">
        <f t="shared" si="4"/>
        <v>0.12713472485768501</v>
      </c>
      <c r="N68" s="204">
        <f t="shared" si="5"/>
        <v>0.15053763440860216</v>
      </c>
      <c r="O68" s="204">
        <f t="shared" si="6"/>
        <v>0.16318785578747627</v>
      </c>
      <c r="P68" s="204">
        <f t="shared" si="7"/>
        <v>0.16540164452877926</v>
      </c>
      <c r="Q68" s="204">
        <f t="shared" si="8"/>
        <v>0.17994939911448452</v>
      </c>
    </row>
    <row r="69" spans="1:17">
      <c r="A69" s="122" t="s">
        <v>203</v>
      </c>
      <c r="B69" s="105">
        <v>37000</v>
      </c>
      <c r="C69" s="9">
        <v>38000</v>
      </c>
      <c r="D69" s="9">
        <v>54000</v>
      </c>
      <c r="E69" s="9">
        <v>53000</v>
      </c>
      <c r="F69" s="9">
        <v>51000</v>
      </c>
      <c r="G69" s="9">
        <v>54000</v>
      </c>
      <c r="H69" s="9">
        <v>46000</v>
      </c>
      <c r="I69" s="102">
        <f t="shared" ref="I69:I132" si="9">SUM(B69:H69)</f>
        <v>333000</v>
      </c>
      <c r="J69" s="102"/>
      <c r="K69" s="204">
        <f t="shared" ref="K69:K132" si="10">B69/$I69</f>
        <v>0.1111111111111111</v>
      </c>
      <c r="L69" s="204">
        <f t="shared" ref="L69:L132" si="11">C69/$I69</f>
        <v>0.11411411411411411</v>
      </c>
      <c r="M69" s="204">
        <f t="shared" ref="M69:M132" si="12">D69/$I69</f>
        <v>0.16216216216216217</v>
      </c>
      <c r="N69" s="204">
        <f t="shared" ref="N69:N132" si="13">E69/$I69</f>
        <v>0.15915915915915915</v>
      </c>
      <c r="O69" s="204">
        <f t="shared" ref="O69:O132" si="14">F69/$I69</f>
        <v>0.15315315315315314</v>
      </c>
      <c r="P69" s="204">
        <f t="shared" ref="P69:P132" si="15">G69/$I69</f>
        <v>0.16216216216216217</v>
      </c>
      <c r="Q69" s="204">
        <f t="shared" ref="Q69:Q132" si="16">H69/$I69</f>
        <v>0.13813813813813813</v>
      </c>
    </row>
    <row r="70" spans="1:17">
      <c r="A70" s="122" t="s">
        <v>204</v>
      </c>
      <c r="B70" s="105">
        <v>205000</v>
      </c>
      <c r="C70" s="9">
        <v>229000</v>
      </c>
      <c r="D70" s="9">
        <v>247000</v>
      </c>
      <c r="E70" s="9">
        <v>297000</v>
      </c>
      <c r="F70" s="9">
        <v>284000</v>
      </c>
      <c r="G70" s="9">
        <v>325000</v>
      </c>
      <c r="H70" s="9">
        <v>372000</v>
      </c>
      <c r="I70" s="102">
        <f t="shared" si="9"/>
        <v>1959000</v>
      </c>
      <c r="J70" s="102"/>
      <c r="K70" s="204">
        <f t="shared" si="10"/>
        <v>0.10464522715671261</v>
      </c>
      <c r="L70" s="204">
        <f t="shared" si="11"/>
        <v>0.11689637570188872</v>
      </c>
      <c r="M70" s="204">
        <f t="shared" si="12"/>
        <v>0.12608473711077081</v>
      </c>
      <c r="N70" s="204">
        <f t="shared" si="13"/>
        <v>0.15160796324655437</v>
      </c>
      <c r="O70" s="204">
        <f t="shared" si="14"/>
        <v>0.14497192445125065</v>
      </c>
      <c r="P70" s="204">
        <f t="shared" si="15"/>
        <v>0.16590096988259315</v>
      </c>
      <c r="Q70" s="204">
        <f t="shared" si="16"/>
        <v>0.18989280245022971</v>
      </c>
    </row>
    <row r="71" spans="1:17">
      <c r="A71" s="122" t="s">
        <v>205</v>
      </c>
      <c r="B71" s="105">
        <v>84000</v>
      </c>
      <c r="C71" s="9">
        <v>91000</v>
      </c>
      <c r="D71" s="9">
        <v>99000</v>
      </c>
      <c r="E71" s="9">
        <v>98000</v>
      </c>
      <c r="F71" s="9">
        <v>118000</v>
      </c>
      <c r="G71" s="9">
        <v>125000</v>
      </c>
      <c r="H71" s="9">
        <v>130000</v>
      </c>
      <c r="I71" s="102">
        <f t="shared" si="9"/>
        <v>745000</v>
      </c>
      <c r="J71" s="102"/>
      <c r="K71" s="204">
        <f t="shared" si="10"/>
        <v>0.11275167785234899</v>
      </c>
      <c r="L71" s="204">
        <f t="shared" si="11"/>
        <v>0.12214765100671141</v>
      </c>
      <c r="M71" s="204">
        <f t="shared" si="12"/>
        <v>0.13288590604026845</v>
      </c>
      <c r="N71" s="204">
        <f t="shared" si="13"/>
        <v>0.13154362416107382</v>
      </c>
      <c r="O71" s="204">
        <f t="shared" si="14"/>
        <v>0.15838926174496645</v>
      </c>
      <c r="P71" s="204">
        <f t="shared" si="15"/>
        <v>0.16778523489932887</v>
      </c>
      <c r="Q71" s="204">
        <f t="shared" si="16"/>
        <v>0.17449664429530201</v>
      </c>
    </row>
    <row r="72" spans="1:17">
      <c r="A72" s="120" t="s">
        <v>206</v>
      </c>
      <c r="B72" s="105">
        <v>151000</v>
      </c>
      <c r="C72" s="9">
        <v>180000</v>
      </c>
      <c r="D72" s="9">
        <v>170000</v>
      </c>
      <c r="E72" s="9">
        <v>183000</v>
      </c>
      <c r="F72" s="9">
        <v>189000</v>
      </c>
      <c r="G72" s="9">
        <v>193000</v>
      </c>
      <c r="H72" s="9">
        <v>203000</v>
      </c>
      <c r="I72" s="102">
        <f t="shared" si="9"/>
        <v>1269000</v>
      </c>
      <c r="J72" s="102"/>
      <c r="K72" s="204">
        <f t="shared" si="10"/>
        <v>0.11899133175728921</v>
      </c>
      <c r="L72" s="204">
        <f t="shared" si="11"/>
        <v>0.14184397163120568</v>
      </c>
      <c r="M72" s="204">
        <f t="shared" si="12"/>
        <v>0.13396375098502758</v>
      </c>
      <c r="N72" s="204">
        <f t="shared" si="13"/>
        <v>0.14420803782505912</v>
      </c>
      <c r="O72" s="204">
        <f t="shared" si="14"/>
        <v>0.14893617021276595</v>
      </c>
      <c r="P72" s="204">
        <f t="shared" si="15"/>
        <v>0.15208825847123719</v>
      </c>
      <c r="Q72" s="204">
        <f t="shared" si="16"/>
        <v>0.1599684791174153</v>
      </c>
    </row>
    <row r="73" spans="1:17">
      <c r="A73" s="121" t="s">
        <v>207</v>
      </c>
      <c r="B73" s="105">
        <v>28000</v>
      </c>
      <c r="C73" s="9">
        <v>44000</v>
      </c>
      <c r="D73" s="9">
        <v>37000</v>
      </c>
      <c r="E73" s="9">
        <v>43000</v>
      </c>
      <c r="F73" s="9">
        <v>43000</v>
      </c>
      <c r="G73" s="9">
        <v>36000</v>
      </c>
      <c r="H73" s="9">
        <v>57000</v>
      </c>
      <c r="I73" s="102">
        <f t="shared" si="9"/>
        <v>288000</v>
      </c>
      <c r="J73" s="102"/>
      <c r="K73" s="204">
        <f t="shared" si="10"/>
        <v>9.7222222222222224E-2</v>
      </c>
      <c r="L73" s="204">
        <f t="shared" si="11"/>
        <v>0.15277777777777779</v>
      </c>
      <c r="M73" s="204">
        <f t="shared" si="12"/>
        <v>0.12847222222222221</v>
      </c>
      <c r="N73" s="204">
        <f t="shared" si="13"/>
        <v>0.14930555555555555</v>
      </c>
      <c r="O73" s="204">
        <f t="shared" si="14"/>
        <v>0.14930555555555555</v>
      </c>
      <c r="P73" s="204">
        <f t="shared" si="15"/>
        <v>0.125</v>
      </c>
      <c r="Q73" s="204">
        <f t="shared" si="16"/>
        <v>0.19791666666666666</v>
      </c>
    </row>
    <row r="74" spans="1:17">
      <c r="A74" s="121" t="s">
        <v>208</v>
      </c>
      <c r="B74" s="105">
        <v>7000</v>
      </c>
      <c r="C74" s="9">
        <v>10000</v>
      </c>
      <c r="D74" s="9">
        <v>8000</v>
      </c>
      <c r="E74" s="9">
        <v>5000</v>
      </c>
      <c r="F74" s="9">
        <v>5000</v>
      </c>
      <c r="G74" s="9">
        <v>4000</v>
      </c>
      <c r="H74" s="13" t="s">
        <v>191</v>
      </c>
      <c r="I74" s="102">
        <f t="shared" si="9"/>
        <v>39000</v>
      </c>
      <c r="J74" s="102"/>
      <c r="K74" s="204">
        <f t="shared" si="10"/>
        <v>0.17948717948717949</v>
      </c>
      <c r="L74" s="204">
        <f t="shared" si="11"/>
        <v>0.25641025641025639</v>
      </c>
      <c r="M74" s="204">
        <f t="shared" si="12"/>
        <v>0.20512820512820512</v>
      </c>
      <c r="N74" s="204">
        <f t="shared" si="13"/>
        <v>0.12820512820512819</v>
      </c>
      <c r="O74" s="204">
        <f t="shared" si="14"/>
        <v>0.12820512820512819</v>
      </c>
      <c r="P74" s="204">
        <f t="shared" si="15"/>
        <v>0.10256410256410256</v>
      </c>
      <c r="Q74" s="204" t="e">
        <f t="shared" si="16"/>
        <v>#VALUE!</v>
      </c>
    </row>
    <row r="75" spans="1:17">
      <c r="A75" s="121" t="s">
        <v>209</v>
      </c>
      <c r="B75" s="105">
        <v>102000</v>
      </c>
      <c r="C75" s="9">
        <v>115000</v>
      </c>
      <c r="D75" s="9">
        <v>109000</v>
      </c>
      <c r="E75" s="9">
        <v>117000</v>
      </c>
      <c r="F75" s="9">
        <v>125000</v>
      </c>
      <c r="G75" s="9">
        <v>132000</v>
      </c>
      <c r="H75" s="9">
        <v>117000</v>
      </c>
      <c r="I75" s="102">
        <f t="shared" si="9"/>
        <v>817000</v>
      </c>
      <c r="J75" s="102"/>
      <c r="K75" s="204">
        <f t="shared" si="10"/>
        <v>0.12484700122399021</v>
      </c>
      <c r="L75" s="204">
        <f t="shared" si="11"/>
        <v>0.14075887392900857</v>
      </c>
      <c r="M75" s="204">
        <f t="shared" si="12"/>
        <v>0.13341493268053856</v>
      </c>
      <c r="N75" s="204">
        <f t="shared" si="13"/>
        <v>0.14320685434516525</v>
      </c>
      <c r="O75" s="204">
        <f t="shared" si="14"/>
        <v>0.15299877600979192</v>
      </c>
      <c r="P75" s="204">
        <f t="shared" si="15"/>
        <v>0.16156670746634028</v>
      </c>
      <c r="Q75" s="204">
        <f t="shared" si="16"/>
        <v>0.14320685434516525</v>
      </c>
    </row>
    <row r="76" spans="1:17">
      <c r="A76" s="121" t="s">
        <v>210</v>
      </c>
      <c r="B76" s="105">
        <v>13000</v>
      </c>
      <c r="C76" s="9">
        <v>12000</v>
      </c>
      <c r="D76" s="9">
        <v>16000</v>
      </c>
      <c r="E76" s="9">
        <v>18000</v>
      </c>
      <c r="F76" s="9">
        <v>16000</v>
      </c>
      <c r="G76" s="9">
        <v>21000</v>
      </c>
      <c r="H76" s="9">
        <v>18000</v>
      </c>
      <c r="I76" s="102">
        <f t="shared" si="9"/>
        <v>114000</v>
      </c>
      <c r="J76" s="102"/>
      <c r="K76" s="204">
        <f t="shared" si="10"/>
        <v>0.11403508771929824</v>
      </c>
      <c r="L76" s="204">
        <f t="shared" si="11"/>
        <v>0.10526315789473684</v>
      </c>
      <c r="M76" s="204">
        <f t="shared" si="12"/>
        <v>0.14035087719298245</v>
      </c>
      <c r="N76" s="204">
        <f t="shared" si="13"/>
        <v>0.15789473684210525</v>
      </c>
      <c r="O76" s="204">
        <f t="shared" si="14"/>
        <v>0.14035087719298245</v>
      </c>
      <c r="P76" s="204">
        <f t="shared" si="15"/>
        <v>0.18421052631578946</v>
      </c>
      <c r="Q76" s="204">
        <f t="shared" si="16"/>
        <v>0.15789473684210525</v>
      </c>
    </row>
    <row r="77" spans="1:17">
      <c r="A77" s="120" t="s">
        <v>211</v>
      </c>
      <c r="B77" s="105">
        <v>558000</v>
      </c>
      <c r="C77" s="9">
        <v>596000</v>
      </c>
      <c r="D77" s="9">
        <v>637000</v>
      </c>
      <c r="E77" s="9">
        <v>628000</v>
      </c>
      <c r="F77" s="9">
        <v>740000</v>
      </c>
      <c r="G77" s="9">
        <v>732000</v>
      </c>
      <c r="H77" s="9">
        <v>736000</v>
      </c>
      <c r="I77" s="102">
        <f t="shared" si="9"/>
        <v>4627000</v>
      </c>
      <c r="J77" s="102"/>
      <c r="K77" s="204">
        <f t="shared" si="10"/>
        <v>0.12059649881132484</v>
      </c>
      <c r="L77" s="204">
        <f t="shared" si="11"/>
        <v>0.12880916360492761</v>
      </c>
      <c r="M77" s="204">
        <f t="shared" si="12"/>
        <v>0.13767019667170954</v>
      </c>
      <c r="N77" s="204">
        <f t="shared" si="13"/>
        <v>0.13572509185217205</v>
      </c>
      <c r="O77" s="204">
        <f t="shared" si="14"/>
        <v>0.15993084071752756</v>
      </c>
      <c r="P77" s="204">
        <f t="shared" si="15"/>
        <v>0.15820185865571645</v>
      </c>
      <c r="Q77" s="204">
        <f t="shared" si="16"/>
        <v>0.15906634968662201</v>
      </c>
    </row>
    <row r="78" spans="1:17">
      <c r="A78" s="121" t="s">
        <v>212</v>
      </c>
      <c r="B78" s="105">
        <v>263000</v>
      </c>
      <c r="C78" s="9">
        <v>309000</v>
      </c>
      <c r="D78" s="9">
        <v>264000</v>
      </c>
      <c r="E78" s="9">
        <v>263000</v>
      </c>
      <c r="F78" s="9">
        <v>274000</v>
      </c>
      <c r="G78" s="9">
        <v>344000</v>
      </c>
      <c r="H78" s="9">
        <v>292000</v>
      </c>
      <c r="I78" s="102">
        <f t="shared" si="9"/>
        <v>2009000</v>
      </c>
      <c r="J78" s="102"/>
      <c r="K78" s="204">
        <f t="shared" si="10"/>
        <v>0.13091090094574415</v>
      </c>
      <c r="L78" s="204">
        <f t="shared" si="11"/>
        <v>0.15380786460925833</v>
      </c>
      <c r="M78" s="204">
        <f t="shared" si="12"/>
        <v>0.13140866102538576</v>
      </c>
      <c r="N78" s="204">
        <f t="shared" si="13"/>
        <v>0.13091090094574415</v>
      </c>
      <c r="O78" s="204">
        <f t="shared" si="14"/>
        <v>0.13638626182180189</v>
      </c>
      <c r="P78" s="204">
        <f t="shared" si="15"/>
        <v>0.1712294673967148</v>
      </c>
      <c r="Q78" s="204">
        <f t="shared" si="16"/>
        <v>0.14534594325535091</v>
      </c>
    </row>
    <row r="79" spans="1:17">
      <c r="A79" s="185" t="s">
        <v>213</v>
      </c>
      <c r="B79" s="105">
        <v>37000</v>
      </c>
      <c r="C79" s="9">
        <v>22000</v>
      </c>
      <c r="D79" s="9">
        <v>19000</v>
      </c>
      <c r="E79" s="9">
        <v>18000</v>
      </c>
      <c r="F79" s="9">
        <v>38000</v>
      </c>
      <c r="G79" s="9">
        <v>28000</v>
      </c>
      <c r="H79" s="9">
        <v>32000</v>
      </c>
      <c r="I79" s="102">
        <f t="shared" si="9"/>
        <v>194000</v>
      </c>
      <c r="J79" s="102"/>
      <c r="K79" s="204">
        <f t="shared" si="10"/>
        <v>0.19072164948453607</v>
      </c>
      <c r="L79" s="204">
        <f t="shared" si="11"/>
        <v>0.1134020618556701</v>
      </c>
      <c r="M79" s="204">
        <f t="shared" si="12"/>
        <v>9.7938144329896906E-2</v>
      </c>
      <c r="N79" s="204">
        <f t="shared" si="13"/>
        <v>9.2783505154639179E-2</v>
      </c>
      <c r="O79" s="204">
        <f t="shared" si="14"/>
        <v>0.19587628865979381</v>
      </c>
      <c r="P79" s="204">
        <f t="shared" si="15"/>
        <v>0.14432989690721648</v>
      </c>
      <c r="Q79" s="204">
        <f t="shared" si="16"/>
        <v>0.16494845360824742</v>
      </c>
    </row>
    <row r="80" spans="1:17">
      <c r="A80" s="121" t="s">
        <v>214</v>
      </c>
      <c r="B80" s="105">
        <v>17000</v>
      </c>
      <c r="C80" s="9">
        <v>14000</v>
      </c>
      <c r="D80" s="9">
        <v>22000</v>
      </c>
      <c r="E80" s="9">
        <v>15000</v>
      </c>
      <c r="F80" s="9">
        <v>17000</v>
      </c>
      <c r="G80" s="9">
        <v>22000</v>
      </c>
      <c r="H80" s="9">
        <v>26000</v>
      </c>
      <c r="I80" s="102">
        <f t="shared" si="9"/>
        <v>133000</v>
      </c>
      <c r="J80" s="102"/>
      <c r="K80" s="204">
        <f t="shared" si="10"/>
        <v>0.12781954887218044</v>
      </c>
      <c r="L80" s="204">
        <f t="shared" si="11"/>
        <v>0.10526315789473684</v>
      </c>
      <c r="M80" s="204">
        <f t="shared" si="12"/>
        <v>0.16541353383458646</v>
      </c>
      <c r="N80" s="204">
        <f t="shared" si="13"/>
        <v>0.11278195488721804</v>
      </c>
      <c r="O80" s="204">
        <f t="shared" si="14"/>
        <v>0.12781954887218044</v>
      </c>
      <c r="P80" s="204">
        <f t="shared" si="15"/>
        <v>0.16541353383458646</v>
      </c>
      <c r="Q80" s="204">
        <f t="shared" si="16"/>
        <v>0.19548872180451127</v>
      </c>
    </row>
    <row r="81" spans="1:17">
      <c r="A81" s="121" t="s">
        <v>215</v>
      </c>
      <c r="B81" s="105">
        <v>33000</v>
      </c>
      <c r="C81" s="9">
        <v>31000</v>
      </c>
      <c r="D81" s="9">
        <v>21000</v>
      </c>
      <c r="E81" s="9">
        <v>24000</v>
      </c>
      <c r="F81" s="9">
        <v>83000</v>
      </c>
      <c r="G81" s="9">
        <v>37000</v>
      </c>
      <c r="H81" s="9">
        <v>44000</v>
      </c>
      <c r="I81" s="102">
        <f t="shared" si="9"/>
        <v>273000</v>
      </c>
      <c r="J81" s="102"/>
      <c r="K81" s="204">
        <f t="shared" si="10"/>
        <v>0.12087912087912088</v>
      </c>
      <c r="L81" s="204">
        <f t="shared" si="11"/>
        <v>0.11355311355311355</v>
      </c>
      <c r="M81" s="204">
        <f t="shared" si="12"/>
        <v>7.6923076923076927E-2</v>
      </c>
      <c r="N81" s="204">
        <f t="shared" si="13"/>
        <v>8.7912087912087919E-2</v>
      </c>
      <c r="O81" s="204">
        <f t="shared" si="14"/>
        <v>0.304029304029304</v>
      </c>
      <c r="P81" s="204">
        <f t="shared" si="15"/>
        <v>0.13553113553113552</v>
      </c>
      <c r="Q81" s="204">
        <f t="shared" si="16"/>
        <v>0.16117216117216118</v>
      </c>
    </row>
    <row r="82" spans="1:17">
      <c r="A82" s="121" t="s">
        <v>216</v>
      </c>
      <c r="B82" s="105">
        <v>123000</v>
      </c>
      <c r="C82" s="9">
        <v>149000</v>
      </c>
      <c r="D82" s="9">
        <v>164000</v>
      </c>
      <c r="E82" s="9">
        <v>191000</v>
      </c>
      <c r="F82" s="9">
        <v>197000</v>
      </c>
      <c r="G82" s="9">
        <v>189000</v>
      </c>
      <c r="H82" s="9">
        <v>231000</v>
      </c>
      <c r="I82" s="102">
        <f t="shared" si="9"/>
        <v>1244000</v>
      </c>
      <c r="J82" s="102"/>
      <c r="K82" s="204">
        <f t="shared" si="10"/>
        <v>9.8874598070739547E-2</v>
      </c>
      <c r="L82" s="204">
        <f t="shared" si="11"/>
        <v>0.11977491961414791</v>
      </c>
      <c r="M82" s="204">
        <f t="shared" si="12"/>
        <v>0.13183279742765272</v>
      </c>
      <c r="N82" s="204">
        <f t="shared" si="13"/>
        <v>0.15353697749196141</v>
      </c>
      <c r="O82" s="204">
        <f t="shared" si="14"/>
        <v>0.15836012861736334</v>
      </c>
      <c r="P82" s="204">
        <f t="shared" si="15"/>
        <v>0.15192926045016078</v>
      </c>
      <c r="Q82" s="204">
        <f t="shared" si="16"/>
        <v>0.18569131832797428</v>
      </c>
    </row>
    <row r="83" spans="1:17">
      <c r="A83" s="121" t="s">
        <v>217</v>
      </c>
      <c r="B83" s="105">
        <v>85000</v>
      </c>
      <c r="C83" s="9">
        <v>71000</v>
      </c>
      <c r="D83" s="9">
        <v>146000</v>
      </c>
      <c r="E83" s="9">
        <v>117000</v>
      </c>
      <c r="F83" s="9">
        <v>130000</v>
      </c>
      <c r="G83" s="9">
        <v>112000</v>
      </c>
      <c r="H83" s="9">
        <v>112000</v>
      </c>
      <c r="I83" s="102">
        <f t="shared" si="9"/>
        <v>773000</v>
      </c>
      <c r="J83" s="102"/>
      <c r="K83" s="204">
        <f t="shared" si="10"/>
        <v>0.10996119016817593</v>
      </c>
      <c r="L83" s="204">
        <f t="shared" si="11"/>
        <v>9.1849935316946962E-2</v>
      </c>
      <c r="M83" s="204">
        <f t="shared" si="12"/>
        <v>0.18887451487710219</v>
      </c>
      <c r="N83" s="204">
        <f t="shared" si="13"/>
        <v>0.15135834411384216</v>
      </c>
      <c r="O83" s="204">
        <f t="shared" si="14"/>
        <v>0.16817593790426907</v>
      </c>
      <c r="P83" s="204">
        <f t="shared" si="15"/>
        <v>0.14489003880983181</v>
      </c>
      <c r="Q83" s="204">
        <f t="shared" si="16"/>
        <v>0.14489003880983181</v>
      </c>
    </row>
    <row r="84" spans="1:17">
      <c r="A84" s="114" t="s">
        <v>219</v>
      </c>
      <c r="B84" s="144">
        <v>1406000</v>
      </c>
      <c r="C84" s="143">
        <v>1644000</v>
      </c>
      <c r="D84" s="143">
        <v>1689000</v>
      </c>
      <c r="E84" s="143">
        <v>2076000</v>
      </c>
      <c r="F84" s="143">
        <v>2069000</v>
      </c>
      <c r="G84" s="143">
        <v>2286000</v>
      </c>
      <c r="H84" s="143">
        <v>2411000</v>
      </c>
      <c r="I84" s="280">
        <f t="shared" si="9"/>
        <v>13581000</v>
      </c>
      <c r="J84" s="280"/>
      <c r="K84" s="281">
        <f t="shared" si="10"/>
        <v>0.10352698623076356</v>
      </c>
      <c r="L84" s="281">
        <f t="shared" si="11"/>
        <v>0.12105146896399381</v>
      </c>
      <c r="M84" s="281">
        <f t="shared" si="12"/>
        <v>0.12436492158162138</v>
      </c>
      <c r="N84" s="281">
        <f t="shared" si="13"/>
        <v>0.15286061409321847</v>
      </c>
      <c r="O84" s="281">
        <f t="shared" si="14"/>
        <v>0.1523451881304764</v>
      </c>
      <c r="P84" s="281">
        <f t="shared" si="15"/>
        <v>0.16832339297548046</v>
      </c>
      <c r="Q84" s="281">
        <f t="shared" si="16"/>
        <v>0.1775274280244459</v>
      </c>
    </row>
    <row r="85" spans="1:17">
      <c r="A85" s="115" t="s">
        <v>178</v>
      </c>
      <c r="B85" s="105">
        <v>929000</v>
      </c>
      <c r="C85" s="9">
        <v>1126000</v>
      </c>
      <c r="D85" s="9">
        <v>1192000</v>
      </c>
      <c r="E85" s="9">
        <v>1461000</v>
      </c>
      <c r="F85" s="9">
        <v>1442000</v>
      </c>
      <c r="G85" s="9">
        <v>1589000</v>
      </c>
      <c r="H85" s="9">
        <v>1671000</v>
      </c>
      <c r="I85" s="102">
        <f t="shared" si="9"/>
        <v>9410000</v>
      </c>
      <c r="J85" s="102"/>
      <c r="K85" s="204">
        <f t="shared" si="10"/>
        <v>9.8724760892667379E-2</v>
      </c>
      <c r="L85" s="204">
        <f t="shared" si="11"/>
        <v>0.11965993623804463</v>
      </c>
      <c r="M85" s="204">
        <f t="shared" si="12"/>
        <v>0.12667375132837408</v>
      </c>
      <c r="N85" s="204">
        <f t="shared" si="13"/>
        <v>0.15526036131774706</v>
      </c>
      <c r="O85" s="204">
        <f t="shared" si="14"/>
        <v>0.1532412327311371</v>
      </c>
      <c r="P85" s="204">
        <f t="shared" si="15"/>
        <v>0.16886291179596175</v>
      </c>
      <c r="Q85" s="204">
        <f t="shared" si="16"/>
        <v>0.17757704569606803</v>
      </c>
    </row>
    <row r="86" spans="1:17">
      <c r="A86" s="186" t="s">
        <v>179</v>
      </c>
      <c r="B86" s="105">
        <v>82000</v>
      </c>
      <c r="C86" s="9">
        <v>123000</v>
      </c>
      <c r="D86" s="9">
        <v>119000</v>
      </c>
      <c r="E86" s="9">
        <v>175000</v>
      </c>
      <c r="F86" s="9">
        <v>123000</v>
      </c>
      <c r="G86" s="9">
        <v>132000</v>
      </c>
      <c r="H86" s="9">
        <v>157000</v>
      </c>
      <c r="I86" s="102">
        <f t="shared" si="9"/>
        <v>911000</v>
      </c>
      <c r="J86" s="102"/>
      <c r="K86" s="204">
        <f t="shared" si="10"/>
        <v>9.0010976948408344E-2</v>
      </c>
      <c r="L86" s="204">
        <f t="shared" si="11"/>
        <v>0.1350164654226125</v>
      </c>
      <c r="M86" s="204">
        <f t="shared" si="12"/>
        <v>0.13062568605927552</v>
      </c>
      <c r="N86" s="204">
        <f t="shared" si="13"/>
        <v>0.19209659714599342</v>
      </c>
      <c r="O86" s="204">
        <f t="shared" si="14"/>
        <v>0.1350164654226125</v>
      </c>
      <c r="P86" s="204">
        <f t="shared" si="15"/>
        <v>0.14489571899012074</v>
      </c>
      <c r="Q86" s="204">
        <f t="shared" si="16"/>
        <v>0.17233809001097694</v>
      </c>
    </row>
    <row r="87" spans="1:17">
      <c r="A87" s="117" t="s">
        <v>180</v>
      </c>
      <c r="B87" s="105">
        <v>9000</v>
      </c>
      <c r="C87" s="9">
        <v>25000</v>
      </c>
      <c r="D87" s="9">
        <v>23000</v>
      </c>
      <c r="E87" s="9">
        <v>29000</v>
      </c>
      <c r="F87" s="9">
        <v>21000</v>
      </c>
      <c r="G87" s="9">
        <v>13000</v>
      </c>
      <c r="H87" s="9">
        <v>20000</v>
      </c>
      <c r="I87" s="102">
        <f t="shared" si="9"/>
        <v>140000</v>
      </c>
      <c r="J87" s="102"/>
      <c r="K87" s="204">
        <f t="shared" si="10"/>
        <v>6.4285714285714279E-2</v>
      </c>
      <c r="L87" s="204">
        <f t="shared" si="11"/>
        <v>0.17857142857142858</v>
      </c>
      <c r="M87" s="204">
        <f t="shared" si="12"/>
        <v>0.16428571428571428</v>
      </c>
      <c r="N87" s="204">
        <f t="shared" si="13"/>
        <v>0.20714285714285716</v>
      </c>
      <c r="O87" s="204">
        <f t="shared" si="14"/>
        <v>0.15</v>
      </c>
      <c r="P87" s="204">
        <f t="shared" si="15"/>
        <v>9.285714285714286E-2</v>
      </c>
      <c r="Q87" s="204">
        <f t="shared" si="16"/>
        <v>0.14285714285714285</v>
      </c>
    </row>
    <row r="88" spans="1:17">
      <c r="A88" s="117" t="s">
        <v>181</v>
      </c>
      <c r="B88" s="105">
        <v>57000</v>
      </c>
      <c r="C88" s="9">
        <v>78000</v>
      </c>
      <c r="D88" s="9">
        <v>79000</v>
      </c>
      <c r="E88" s="9">
        <v>125000</v>
      </c>
      <c r="F88" s="9">
        <v>83000</v>
      </c>
      <c r="G88" s="9">
        <v>90000</v>
      </c>
      <c r="H88" s="9">
        <v>107000</v>
      </c>
      <c r="I88" s="102">
        <f t="shared" si="9"/>
        <v>619000</v>
      </c>
      <c r="J88" s="102"/>
      <c r="K88" s="204">
        <f t="shared" si="10"/>
        <v>9.2084006462035545E-2</v>
      </c>
      <c r="L88" s="204">
        <f t="shared" si="11"/>
        <v>0.12600969305331181</v>
      </c>
      <c r="M88" s="204">
        <f t="shared" si="12"/>
        <v>0.12762520193861066</v>
      </c>
      <c r="N88" s="204">
        <f t="shared" si="13"/>
        <v>0.20193861066235863</v>
      </c>
      <c r="O88" s="204">
        <f t="shared" si="14"/>
        <v>0.13408723747980614</v>
      </c>
      <c r="P88" s="204">
        <f t="shared" si="15"/>
        <v>0.14539579967689822</v>
      </c>
      <c r="Q88" s="204">
        <f t="shared" si="16"/>
        <v>0.172859450726979</v>
      </c>
    </row>
    <row r="89" spans="1:17">
      <c r="A89" s="117" t="s">
        <v>182</v>
      </c>
      <c r="B89" s="105">
        <v>15000</v>
      </c>
      <c r="C89" s="9">
        <v>20000</v>
      </c>
      <c r="D89" s="9">
        <v>17000</v>
      </c>
      <c r="E89" s="9">
        <v>21000</v>
      </c>
      <c r="F89" s="9">
        <v>18000</v>
      </c>
      <c r="G89" s="9">
        <v>28000</v>
      </c>
      <c r="H89" s="9">
        <v>29000</v>
      </c>
      <c r="I89" s="102">
        <f t="shared" si="9"/>
        <v>148000</v>
      </c>
      <c r="J89" s="102"/>
      <c r="K89" s="204">
        <f t="shared" si="10"/>
        <v>0.10135135135135136</v>
      </c>
      <c r="L89" s="204">
        <f t="shared" si="11"/>
        <v>0.13513513513513514</v>
      </c>
      <c r="M89" s="204">
        <f t="shared" si="12"/>
        <v>0.11486486486486487</v>
      </c>
      <c r="N89" s="204">
        <f t="shared" si="13"/>
        <v>0.14189189189189189</v>
      </c>
      <c r="O89" s="204">
        <f t="shared" si="14"/>
        <v>0.12162162162162163</v>
      </c>
      <c r="P89" s="204">
        <f t="shared" si="15"/>
        <v>0.1891891891891892</v>
      </c>
      <c r="Q89" s="204">
        <f t="shared" si="16"/>
        <v>0.19594594594594594</v>
      </c>
    </row>
    <row r="90" spans="1:17">
      <c r="A90" s="116" t="s">
        <v>183</v>
      </c>
      <c r="B90" s="105">
        <v>246000</v>
      </c>
      <c r="C90" s="9">
        <v>321000</v>
      </c>
      <c r="D90" s="9">
        <v>375000</v>
      </c>
      <c r="E90" s="9">
        <v>474000</v>
      </c>
      <c r="F90" s="9">
        <v>482000</v>
      </c>
      <c r="G90" s="9">
        <v>543000</v>
      </c>
      <c r="H90" s="9">
        <v>560000</v>
      </c>
      <c r="I90" s="102">
        <f t="shared" si="9"/>
        <v>3001000</v>
      </c>
      <c r="J90" s="102"/>
      <c r="K90" s="204">
        <f t="shared" si="10"/>
        <v>8.1972675774741752E-2</v>
      </c>
      <c r="L90" s="204">
        <f t="shared" si="11"/>
        <v>0.10696434521826058</v>
      </c>
      <c r="M90" s="204">
        <f t="shared" si="12"/>
        <v>0.12495834721759413</v>
      </c>
      <c r="N90" s="204">
        <f t="shared" si="13"/>
        <v>0.15794735088303899</v>
      </c>
      <c r="O90" s="204">
        <f t="shared" si="14"/>
        <v>0.16061312895701432</v>
      </c>
      <c r="P90" s="204">
        <f t="shared" si="15"/>
        <v>0.1809396867710763</v>
      </c>
      <c r="Q90" s="204">
        <f t="shared" si="16"/>
        <v>0.18660446517827392</v>
      </c>
    </row>
    <row r="91" spans="1:17">
      <c r="A91" s="117" t="s">
        <v>184</v>
      </c>
      <c r="B91" s="105">
        <v>194000</v>
      </c>
      <c r="C91" s="9">
        <v>255000</v>
      </c>
      <c r="D91" s="9">
        <v>308000</v>
      </c>
      <c r="E91" s="9">
        <v>401000</v>
      </c>
      <c r="F91" s="9">
        <v>411000</v>
      </c>
      <c r="G91" s="9">
        <v>463000</v>
      </c>
      <c r="H91" s="9">
        <v>481000</v>
      </c>
      <c r="I91" s="102">
        <f t="shared" si="9"/>
        <v>2513000</v>
      </c>
      <c r="J91" s="102"/>
      <c r="K91" s="204">
        <f t="shared" si="10"/>
        <v>7.719856744926383E-2</v>
      </c>
      <c r="L91" s="204">
        <f t="shared" si="11"/>
        <v>0.10147234381217668</v>
      </c>
      <c r="M91" s="204">
        <f t="shared" si="12"/>
        <v>0.12256267409470752</v>
      </c>
      <c r="N91" s="204">
        <f t="shared" si="13"/>
        <v>0.15957023477914842</v>
      </c>
      <c r="O91" s="204">
        <f t="shared" si="14"/>
        <v>0.16354954237962593</v>
      </c>
      <c r="P91" s="204">
        <f t="shared" si="15"/>
        <v>0.18424194190210905</v>
      </c>
      <c r="Q91" s="204">
        <f t="shared" si="16"/>
        <v>0.19140469558296858</v>
      </c>
    </row>
    <row r="92" spans="1:17">
      <c r="A92" s="117" t="s">
        <v>185</v>
      </c>
      <c r="B92" s="105">
        <v>52000</v>
      </c>
      <c r="C92" s="9">
        <v>65000</v>
      </c>
      <c r="D92" s="9">
        <v>67000</v>
      </c>
      <c r="E92" s="9">
        <v>73000</v>
      </c>
      <c r="F92" s="9">
        <v>70000</v>
      </c>
      <c r="G92" s="9">
        <v>81000</v>
      </c>
      <c r="H92" s="9">
        <v>79000</v>
      </c>
      <c r="I92" s="102">
        <f t="shared" si="9"/>
        <v>487000</v>
      </c>
      <c r="J92" s="102"/>
      <c r="K92" s="204">
        <f t="shared" si="10"/>
        <v>0.10677618069815195</v>
      </c>
      <c r="L92" s="204">
        <f t="shared" si="11"/>
        <v>0.13347022587268995</v>
      </c>
      <c r="M92" s="204">
        <f t="shared" si="12"/>
        <v>0.1375770020533881</v>
      </c>
      <c r="N92" s="204">
        <f t="shared" si="13"/>
        <v>0.14989733059548255</v>
      </c>
      <c r="O92" s="204">
        <f t="shared" si="14"/>
        <v>0.14373716632443531</v>
      </c>
      <c r="P92" s="204">
        <f t="shared" si="15"/>
        <v>0.16632443531827515</v>
      </c>
      <c r="Q92" s="204">
        <f t="shared" si="16"/>
        <v>0.16221765913757699</v>
      </c>
    </row>
    <row r="93" spans="1:17">
      <c r="A93" s="116" t="s">
        <v>186</v>
      </c>
      <c r="B93" s="105">
        <v>75000</v>
      </c>
      <c r="C93" s="9">
        <v>78000</v>
      </c>
      <c r="D93" s="9">
        <v>81000</v>
      </c>
      <c r="E93" s="9">
        <v>91000</v>
      </c>
      <c r="F93" s="9">
        <v>98000</v>
      </c>
      <c r="G93" s="9">
        <v>88000</v>
      </c>
      <c r="H93" s="9">
        <v>106000</v>
      </c>
      <c r="I93" s="102">
        <f t="shared" si="9"/>
        <v>617000</v>
      </c>
      <c r="J93" s="102"/>
      <c r="K93" s="204">
        <f t="shared" si="10"/>
        <v>0.12155591572123177</v>
      </c>
      <c r="L93" s="204">
        <f t="shared" si="11"/>
        <v>0.12641815235008103</v>
      </c>
      <c r="M93" s="204">
        <f t="shared" si="12"/>
        <v>0.1312803889789303</v>
      </c>
      <c r="N93" s="204">
        <f t="shared" si="13"/>
        <v>0.14748784440842788</v>
      </c>
      <c r="O93" s="204">
        <f t="shared" si="14"/>
        <v>0.15883306320907617</v>
      </c>
      <c r="P93" s="204">
        <f t="shared" si="15"/>
        <v>0.14262560777957861</v>
      </c>
      <c r="Q93" s="204">
        <f t="shared" si="16"/>
        <v>0.17179902755267423</v>
      </c>
    </row>
    <row r="94" spans="1:17">
      <c r="A94" s="117" t="s">
        <v>187</v>
      </c>
      <c r="B94" s="105">
        <v>26000</v>
      </c>
      <c r="C94" s="9">
        <v>24000</v>
      </c>
      <c r="D94" s="9">
        <v>26000</v>
      </c>
      <c r="E94" s="9">
        <v>25000</v>
      </c>
      <c r="F94" s="9">
        <v>32000</v>
      </c>
      <c r="G94" s="9">
        <v>26000</v>
      </c>
      <c r="H94" s="9">
        <v>28000</v>
      </c>
      <c r="I94" s="102">
        <f t="shared" si="9"/>
        <v>187000</v>
      </c>
      <c r="J94" s="102"/>
      <c r="K94" s="204">
        <f t="shared" si="10"/>
        <v>0.13903743315508021</v>
      </c>
      <c r="L94" s="204">
        <f t="shared" si="11"/>
        <v>0.12834224598930483</v>
      </c>
      <c r="M94" s="204">
        <f t="shared" si="12"/>
        <v>0.13903743315508021</v>
      </c>
      <c r="N94" s="204">
        <f t="shared" si="13"/>
        <v>0.13368983957219252</v>
      </c>
      <c r="O94" s="204">
        <f t="shared" si="14"/>
        <v>0.17112299465240641</v>
      </c>
      <c r="P94" s="204">
        <f t="shared" si="15"/>
        <v>0.13903743315508021</v>
      </c>
      <c r="Q94" s="204">
        <f t="shared" si="16"/>
        <v>0.1497326203208556</v>
      </c>
    </row>
    <row r="95" spans="1:17">
      <c r="A95" s="117" t="s">
        <v>188</v>
      </c>
      <c r="B95" s="105">
        <v>29000</v>
      </c>
      <c r="C95" s="9">
        <v>32000</v>
      </c>
      <c r="D95" s="9">
        <v>34000</v>
      </c>
      <c r="E95" s="9">
        <v>41000</v>
      </c>
      <c r="F95" s="9">
        <v>38000</v>
      </c>
      <c r="G95" s="9">
        <v>28000</v>
      </c>
      <c r="H95" s="9">
        <v>39000</v>
      </c>
      <c r="I95" s="102">
        <f t="shared" si="9"/>
        <v>241000</v>
      </c>
      <c r="J95" s="102"/>
      <c r="K95" s="204">
        <f t="shared" si="10"/>
        <v>0.12033195020746888</v>
      </c>
      <c r="L95" s="204">
        <f t="shared" si="11"/>
        <v>0.13278008298755187</v>
      </c>
      <c r="M95" s="204">
        <f t="shared" si="12"/>
        <v>0.14107883817427386</v>
      </c>
      <c r="N95" s="204">
        <f t="shared" si="13"/>
        <v>0.17012448132780084</v>
      </c>
      <c r="O95" s="204">
        <f t="shared" si="14"/>
        <v>0.15767634854771784</v>
      </c>
      <c r="P95" s="204">
        <f t="shared" si="15"/>
        <v>0.11618257261410789</v>
      </c>
      <c r="Q95" s="204">
        <f t="shared" si="16"/>
        <v>0.16182572614107885</v>
      </c>
    </row>
    <row r="96" spans="1:17">
      <c r="A96" s="117" t="s">
        <v>189</v>
      </c>
      <c r="B96" s="105">
        <v>19000</v>
      </c>
      <c r="C96" s="9">
        <v>19000</v>
      </c>
      <c r="D96" s="9">
        <v>20000</v>
      </c>
      <c r="E96" s="9">
        <v>24000</v>
      </c>
      <c r="F96" s="9">
        <v>27000</v>
      </c>
      <c r="G96" s="9">
        <v>33000</v>
      </c>
      <c r="H96" s="9">
        <v>37000</v>
      </c>
      <c r="I96" s="102">
        <f t="shared" si="9"/>
        <v>179000</v>
      </c>
      <c r="J96" s="102"/>
      <c r="K96" s="204">
        <f t="shared" si="10"/>
        <v>0.10614525139664804</v>
      </c>
      <c r="L96" s="204">
        <f t="shared" si="11"/>
        <v>0.10614525139664804</v>
      </c>
      <c r="M96" s="204">
        <f t="shared" si="12"/>
        <v>0.11173184357541899</v>
      </c>
      <c r="N96" s="204">
        <f t="shared" si="13"/>
        <v>0.13407821229050279</v>
      </c>
      <c r="O96" s="204">
        <f t="shared" si="14"/>
        <v>0.15083798882681565</v>
      </c>
      <c r="P96" s="204">
        <f t="shared" si="15"/>
        <v>0.18435754189944134</v>
      </c>
      <c r="Q96" s="204">
        <f t="shared" si="16"/>
        <v>0.20670391061452514</v>
      </c>
    </row>
    <row r="97" spans="1:17">
      <c r="A97" s="117" t="s">
        <v>190</v>
      </c>
      <c r="B97" s="105">
        <v>1000</v>
      </c>
      <c r="C97" s="9">
        <v>3000</v>
      </c>
      <c r="D97" s="9">
        <v>1000</v>
      </c>
      <c r="E97" s="9">
        <v>1000</v>
      </c>
      <c r="F97" s="9">
        <v>1000</v>
      </c>
      <c r="G97" s="9">
        <v>1000</v>
      </c>
      <c r="H97" s="13" t="s">
        <v>191</v>
      </c>
      <c r="I97" s="102">
        <f t="shared" si="9"/>
        <v>8000</v>
      </c>
      <c r="J97" s="102"/>
      <c r="K97" s="204">
        <f t="shared" si="10"/>
        <v>0.125</v>
      </c>
      <c r="L97" s="204">
        <f t="shared" si="11"/>
        <v>0.375</v>
      </c>
      <c r="M97" s="204">
        <f t="shared" si="12"/>
        <v>0.125</v>
      </c>
      <c r="N97" s="204">
        <f t="shared" si="13"/>
        <v>0.125</v>
      </c>
      <c r="O97" s="204">
        <f t="shared" si="14"/>
        <v>0.125</v>
      </c>
      <c r="P97" s="204">
        <f t="shared" si="15"/>
        <v>0.125</v>
      </c>
      <c r="Q97" s="204" t="e">
        <f t="shared" si="16"/>
        <v>#VALUE!</v>
      </c>
    </row>
    <row r="98" spans="1:17">
      <c r="A98" s="116" t="s">
        <v>192</v>
      </c>
      <c r="B98" s="105">
        <v>146000</v>
      </c>
      <c r="C98" s="9">
        <v>179000</v>
      </c>
      <c r="D98" s="9">
        <v>182000</v>
      </c>
      <c r="E98" s="9">
        <v>203000</v>
      </c>
      <c r="F98" s="9">
        <v>176000</v>
      </c>
      <c r="G98" s="9">
        <v>194000</v>
      </c>
      <c r="H98" s="9">
        <v>212000</v>
      </c>
      <c r="I98" s="102">
        <f t="shared" si="9"/>
        <v>1292000</v>
      </c>
      <c r="J98" s="102"/>
      <c r="K98" s="204">
        <f t="shared" si="10"/>
        <v>0.1130030959752322</v>
      </c>
      <c r="L98" s="204">
        <f t="shared" si="11"/>
        <v>0.13854489164086686</v>
      </c>
      <c r="M98" s="204">
        <f t="shared" si="12"/>
        <v>0.14086687306501547</v>
      </c>
      <c r="N98" s="204">
        <f t="shared" si="13"/>
        <v>0.15712074303405574</v>
      </c>
      <c r="O98" s="204">
        <f t="shared" si="14"/>
        <v>0.13622291021671826</v>
      </c>
      <c r="P98" s="204">
        <f t="shared" si="15"/>
        <v>0.15015479876160992</v>
      </c>
      <c r="Q98" s="204">
        <f t="shared" si="16"/>
        <v>0.16408668730650156</v>
      </c>
    </row>
    <row r="99" spans="1:17">
      <c r="A99" s="117" t="s">
        <v>193</v>
      </c>
      <c r="B99" s="105">
        <v>17000</v>
      </c>
      <c r="C99" s="9">
        <v>17000</v>
      </c>
      <c r="D99" s="9">
        <v>19000</v>
      </c>
      <c r="E99" s="9">
        <v>20000</v>
      </c>
      <c r="F99" s="9">
        <v>20000</v>
      </c>
      <c r="G99" s="9">
        <v>26000</v>
      </c>
      <c r="H99" s="9">
        <v>30000</v>
      </c>
      <c r="I99" s="102">
        <f t="shared" si="9"/>
        <v>149000</v>
      </c>
      <c r="J99" s="102"/>
      <c r="K99" s="204">
        <f t="shared" si="10"/>
        <v>0.11409395973154363</v>
      </c>
      <c r="L99" s="204">
        <f t="shared" si="11"/>
        <v>0.11409395973154363</v>
      </c>
      <c r="M99" s="204">
        <f t="shared" si="12"/>
        <v>0.12751677852348994</v>
      </c>
      <c r="N99" s="204">
        <f t="shared" si="13"/>
        <v>0.13422818791946309</v>
      </c>
      <c r="O99" s="204">
        <f t="shared" si="14"/>
        <v>0.13422818791946309</v>
      </c>
      <c r="P99" s="204">
        <f t="shared" si="15"/>
        <v>0.17449664429530201</v>
      </c>
      <c r="Q99" s="204">
        <f t="shared" si="16"/>
        <v>0.20134228187919462</v>
      </c>
    </row>
    <row r="100" spans="1:17">
      <c r="A100" s="117" t="s">
        <v>194</v>
      </c>
      <c r="B100" s="105">
        <v>17000</v>
      </c>
      <c r="C100" s="9">
        <v>37000</v>
      </c>
      <c r="D100" s="9">
        <v>27000</v>
      </c>
      <c r="E100" s="9">
        <v>39000</v>
      </c>
      <c r="F100" s="9">
        <v>37000</v>
      </c>
      <c r="G100" s="9">
        <v>34000</v>
      </c>
      <c r="H100" s="9">
        <v>46000</v>
      </c>
      <c r="I100" s="102">
        <f t="shared" si="9"/>
        <v>237000</v>
      </c>
      <c r="J100" s="102"/>
      <c r="K100" s="204">
        <f t="shared" si="10"/>
        <v>7.1729957805907171E-2</v>
      </c>
      <c r="L100" s="204">
        <f t="shared" si="11"/>
        <v>0.15611814345991562</v>
      </c>
      <c r="M100" s="204">
        <f t="shared" si="12"/>
        <v>0.11392405063291139</v>
      </c>
      <c r="N100" s="204">
        <f t="shared" si="13"/>
        <v>0.16455696202531644</v>
      </c>
      <c r="O100" s="204">
        <f t="shared" si="14"/>
        <v>0.15611814345991562</v>
      </c>
      <c r="P100" s="204">
        <f t="shared" si="15"/>
        <v>0.14345991561181434</v>
      </c>
      <c r="Q100" s="204">
        <f t="shared" si="16"/>
        <v>0.1940928270042194</v>
      </c>
    </row>
    <row r="101" spans="1:17">
      <c r="A101" s="117" t="s">
        <v>195</v>
      </c>
      <c r="B101" s="105">
        <v>84000</v>
      </c>
      <c r="C101" s="9">
        <v>82000</v>
      </c>
      <c r="D101" s="9">
        <v>99000</v>
      </c>
      <c r="E101" s="9">
        <v>102000</v>
      </c>
      <c r="F101" s="9">
        <v>87000</v>
      </c>
      <c r="G101" s="9">
        <v>92000</v>
      </c>
      <c r="H101" s="9">
        <v>96000</v>
      </c>
      <c r="I101" s="102">
        <f t="shared" si="9"/>
        <v>642000</v>
      </c>
      <c r="J101" s="102"/>
      <c r="K101" s="204">
        <f t="shared" si="10"/>
        <v>0.13084112149532709</v>
      </c>
      <c r="L101" s="204">
        <f t="shared" si="11"/>
        <v>0.1277258566978193</v>
      </c>
      <c r="M101" s="204">
        <f t="shared" si="12"/>
        <v>0.1542056074766355</v>
      </c>
      <c r="N101" s="204">
        <f t="shared" si="13"/>
        <v>0.15887850467289719</v>
      </c>
      <c r="O101" s="204">
        <f t="shared" si="14"/>
        <v>0.13551401869158877</v>
      </c>
      <c r="P101" s="204">
        <f t="shared" si="15"/>
        <v>0.14330218068535824</v>
      </c>
      <c r="Q101" s="204">
        <f t="shared" si="16"/>
        <v>0.14953271028037382</v>
      </c>
    </row>
    <row r="102" spans="1:17">
      <c r="A102" s="117" t="s">
        <v>196</v>
      </c>
      <c r="B102" s="105">
        <v>18000</v>
      </c>
      <c r="C102" s="9">
        <v>20000</v>
      </c>
      <c r="D102" s="9">
        <v>16000</v>
      </c>
      <c r="E102" s="9">
        <v>24000</v>
      </c>
      <c r="F102" s="9">
        <v>18000</v>
      </c>
      <c r="G102" s="9">
        <v>19000</v>
      </c>
      <c r="H102" s="9">
        <v>22000</v>
      </c>
      <c r="I102" s="102">
        <f t="shared" si="9"/>
        <v>137000</v>
      </c>
      <c r="J102" s="102"/>
      <c r="K102" s="204">
        <f t="shared" si="10"/>
        <v>0.13138686131386862</v>
      </c>
      <c r="L102" s="204">
        <f t="shared" si="11"/>
        <v>0.145985401459854</v>
      </c>
      <c r="M102" s="204">
        <f t="shared" si="12"/>
        <v>0.11678832116788321</v>
      </c>
      <c r="N102" s="204">
        <f t="shared" si="13"/>
        <v>0.17518248175182483</v>
      </c>
      <c r="O102" s="204">
        <f t="shared" si="14"/>
        <v>0.13138686131386862</v>
      </c>
      <c r="P102" s="204">
        <f t="shared" si="15"/>
        <v>0.13868613138686131</v>
      </c>
      <c r="Q102" s="204">
        <f t="shared" si="16"/>
        <v>0.16058394160583941</v>
      </c>
    </row>
    <row r="103" spans="1:17">
      <c r="A103" s="117" t="s">
        <v>197</v>
      </c>
      <c r="B103" s="105">
        <v>10000</v>
      </c>
      <c r="C103" s="9">
        <v>23000</v>
      </c>
      <c r="D103" s="9">
        <v>21000</v>
      </c>
      <c r="E103" s="9">
        <v>16000</v>
      </c>
      <c r="F103" s="9">
        <v>14000</v>
      </c>
      <c r="G103" s="9">
        <v>23000</v>
      </c>
      <c r="H103" s="9">
        <v>18000</v>
      </c>
      <c r="I103" s="102">
        <f t="shared" si="9"/>
        <v>125000</v>
      </c>
      <c r="J103" s="102"/>
      <c r="K103" s="204">
        <f t="shared" si="10"/>
        <v>0.08</v>
      </c>
      <c r="L103" s="204">
        <f t="shared" si="11"/>
        <v>0.184</v>
      </c>
      <c r="M103" s="204">
        <f t="shared" si="12"/>
        <v>0.16800000000000001</v>
      </c>
      <c r="N103" s="204">
        <f t="shared" si="13"/>
        <v>0.128</v>
      </c>
      <c r="O103" s="204">
        <f t="shared" si="14"/>
        <v>0.112</v>
      </c>
      <c r="P103" s="204">
        <f t="shared" si="15"/>
        <v>0.184</v>
      </c>
      <c r="Q103" s="204">
        <f t="shared" si="16"/>
        <v>0.14399999999999999</v>
      </c>
    </row>
    <row r="104" spans="1:17">
      <c r="A104" s="116" t="s">
        <v>198</v>
      </c>
      <c r="B104" s="105">
        <v>381000</v>
      </c>
      <c r="C104" s="9">
        <v>425000</v>
      </c>
      <c r="D104" s="9">
        <v>434000</v>
      </c>
      <c r="E104" s="9">
        <v>518000</v>
      </c>
      <c r="F104" s="9">
        <v>563000</v>
      </c>
      <c r="G104" s="9">
        <v>632000</v>
      </c>
      <c r="H104" s="9">
        <v>635000</v>
      </c>
      <c r="I104" s="102">
        <f t="shared" si="9"/>
        <v>3588000</v>
      </c>
      <c r="J104" s="102"/>
      <c r="K104" s="204">
        <f t="shared" si="10"/>
        <v>0.10618729096989966</v>
      </c>
      <c r="L104" s="204">
        <f t="shared" si="11"/>
        <v>0.11845039018952062</v>
      </c>
      <c r="M104" s="204">
        <f t="shared" si="12"/>
        <v>0.120958751393534</v>
      </c>
      <c r="N104" s="204">
        <f t="shared" si="13"/>
        <v>0.14437012263099219</v>
      </c>
      <c r="O104" s="204">
        <f t="shared" si="14"/>
        <v>0.15691192865105907</v>
      </c>
      <c r="P104" s="204">
        <f t="shared" si="15"/>
        <v>0.17614269788182832</v>
      </c>
      <c r="Q104" s="204">
        <f t="shared" si="16"/>
        <v>0.17697881828316611</v>
      </c>
    </row>
    <row r="105" spans="1:17">
      <c r="A105" s="118" t="s">
        <v>199</v>
      </c>
      <c r="B105" s="105">
        <v>12000</v>
      </c>
      <c r="C105" s="9">
        <v>16000</v>
      </c>
      <c r="D105" s="9">
        <v>13000</v>
      </c>
      <c r="E105" s="9">
        <v>17000</v>
      </c>
      <c r="F105" s="9">
        <v>22000</v>
      </c>
      <c r="G105" s="9">
        <v>27000</v>
      </c>
      <c r="H105" s="9">
        <v>29000</v>
      </c>
      <c r="I105" s="102">
        <f t="shared" si="9"/>
        <v>136000</v>
      </c>
      <c r="J105" s="102"/>
      <c r="K105" s="204">
        <f t="shared" si="10"/>
        <v>8.8235294117647065E-2</v>
      </c>
      <c r="L105" s="204">
        <f t="shared" si="11"/>
        <v>0.11764705882352941</v>
      </c>
      <c r="M105" s="204">
        <f t="shared" si="12"/>
        <v>9.5588235294117641E-2</v>
      </c>
      <c r="N105" s="204">
        <f t="shared" si="13"/>
        <v>0.125</v>
      </c>
      <c r="O105" s="204">
        <f t="shared" si="14"/>
        <v>0.16176470588235295</v>
      </c>
      <c r="P105" s="204">
        <f t="shared" si="15"/>
        <v>0.19852941176470587</v>
      </c>
      <c r="Q105" s="204">
        <f t="shared" si="16"/>
        <v>0.21323529411764705</v>
      </c>
    </row>
    <row r="106" spans="1:17">
      <c r="A106" s="117" t="s">
        <v>200</v>
      </c>
      <c r="B106" s="107">
        <v>18000</v>
      </c>
      <c r="C106" s="7">
        <v>16000</v>
      </c>
      <c r="D106" s="7">
        <v>18000</v>
      </c>
      <c r="E106" s="7">
        <v>18000</v>
      </c>
      <c r="F106" s="7">
        <v>21000</v>
      </c>
      <c r="G106" s="7">
        <v>17000</v>
      </c>
      <c r="H106" s="7">
        <v>19000</v>
      </c>
      <c r="I106" s="102">
        <f t="shared" si="9"/>
        <v>127000</v>
      </c>
      <c r="J106" s="102"/>
      <c r="K106" s="204">
        <f t="shared" si="10"/>
        <v>0.14173228346456693</v>
      </c>
      <c r="L106" s="204">
        <f t="shared" si="11"/>
        <v>0.12598425196850394</v>
      </c>
      <c r="M106" s="204">
        <f t="shared" si="12"/>
        <v>0.14173228346456693</v>
      </c>
      <c r="N106" s="204">
        <f t="shared" si="13"/>
        <v>0.14173228346456693</v>
      </c>
      <c r="O106" s="204">
        <f t="shared" si="14"/>
        <v>0.16535433070866143</v>
      </c>
      <c r="P106" s="204">
        <f t="shared" si="15"/>
        <v>0.13385826771653545</v>
      </c>
      <c r="Q106" s="204">
        <f t="shared" si="16"/>
        <v>0.14960629921259844</v>
      </c>
    </row>
    <row r="107" spans="1:17">
      <c r="A107" s="117" t="s">
        <v>201</v>
      </c>
      <c r="B107" s="105">
        <v>58000</v>
      </c>
      <c r="C107" s="9">
        <v>53000</v>
      </c>
      <c r="D107" s="9">
        <v>63000</v>
      </c>
      <c r="E107" s="9">
        <v>76000</v>
      </c>
      <c r="F107" s="9">
        <v>69000</v>
      </c>
      <c r="G107" s="9">
        <v>85000</v>
      </c>
      <c r="H107" s="9">
        <v>85000</v>
      </c>
      <c r="I107" s="102">
        <f t="shared" si="9"/>
        <v>489000</v>
      </c>
      <c r="J107" s="102"/>
      <c r="K107" s="204">
        <f t="shared" si="10"/>
        <v>0.11860940695296524</v>
      </c>
      <c r="L107" s="204">
        <f t="shared" si="11"/>
        <v>0.10838445807770961</v>
      </c>
      <c r="M107" s="204">
        <f t="shared" si="12"/>
        <v>0.12883435582822086</v>
      </c>
      <c r="N107" s="204">
        <f t="shared" si="13"/>
        <v>0.15541922290388549</v>
      </c>
      <c r="O107" s="204">
        <f t="shared" si="14"/>
        <v>0.1411042944785276</v>
      </c>
      <c r="P107" s="204">
        <f t="shared" si="15"/>
        <v>0.17382413087934559</v>
      </c>
      <c r="Q107" s="204">
        <f t="shared" si="16"/>
        <v>0.17382413087934559</v>
      </c>
    </row>
    <row r="108" spans="1:17">
      <c r="A108" s="117" t="s">
        <v>202</v>
      </c>
      <c r="B108" s="105">
        <v>152000</v>
      </c>
      <c r="C108" s="9">
        <v>183000</v>
      </c>
      <c r="D108" s="9">
        <v>179000</v>
      </c>
      <c r="E108" s="9">
        <v>227000</v>
      </c>
      <c r="F108" s="9">
        <v>257000</v>
      </c>
      <c r="G108" s="9">
        <v>273000</v>
      </c>
      <c r="H108" s="9">
        <v>262000</v>
      </c>
      <c r="I108" s="102">
        <f t="shared" si="9"/>
        <v>1533000</v>
      </c>
      <c r="J108" s="102"/>
      <c r="K108" s="204">
        <f t="shared" si="10"/>
        <v>9.9151989562948462E-2</v>
      </c>
      <c r="L108" s="204">
        <f t="shared" si="11"/>
        <v>0.11937377690802348</v>
      </c>
      <c r="M108" s="204">
        <f t="shared" si="12"/>
        <v>0.11676451402478799</v>
      </c>
      <c r="N108" s="204">
        <f t="shared" si="13"/>
        <v>0.14807566862361382</v>
      </c>
      <c r="O108" s="204">
        <f t="shared" si="14"/>
        <v>0.16764514024787996</v>
      </c>
      <c r="P108" s="204">
        <f t="shared" si="15"/>
        <v>0.17808219178082191</v>
      </c>
      <c r="Q108" s="204">
        <f t="shared" si="16"/>
        <v>0.17090671885192432</v>
      </c>
    </row>
    <row r="109" spans="1:17">
      <c r="A109" s="117" t="s">
        <v>203</v>
      </c>
      <c r="B109" s="105">
        <v>18000</v>
      </c>
      <c r="C109" s="9">
        <v>22000</v>
      </c>
      <c r="D109" s="9">
        <v>17000</v>
      </c>
      <c r="E109" s="9">
        <v>21000</v>
      </c>
      <c r="F109" s="9">
        <v>28000</v>
      </c>
      <c r="G109" s="9">
        <v>26000</v>
      </c>
      <c r="H109" s="9">
        <v>31000</v>
      </c>
      <c r="I109" s="102">
        <f t="shared" si="9"/>
        <v>163000</v>
      </c>
      <c r="J109" s="102"/>
      <c r="K109" s="204">
        <f t="shared" si="10"/>
        <v>0.11042944785276074</v>
      </c>
      <c r="L109" s="204">
        <f t="shared" si="11"/>
        <v>0.13496932515337423</v>
      </c>
      <c r="M109" s="204">
        <f t="shared" si="12"/>
        <v>0.10429447852760736</v>
      </c>
      <c r="N109" s="204">
        <f t="shared" si="13"/>
        <v>0.12883435582822086</v>
      </c>
      <c r="O109" s="204">
        <f t="shared" si="14"/>
        <v>0.17177914110429449</v>
      </c>
      <c r="P109" s="204">
        <f t="shared" si="15"/>
        <v>0.15950920245398773</v>
      </c>
      <c r="Q109" s="204">
        <f t="shared" si="16"/>
        <v>0.19018404907975461</v>
      </c>
    </row>
    <row r="110" spans="1:17">
      <c r="A110" s="117" t="s">
        <v>204</v>
      </c>
      <c r="B110" s="105">
        <v>60000</v>
      </c>
      <c r="C110" s="9">
        <v>67000</v>
      </c>
      <c r="D110" s="9">
        <v>70000</v>
      </c>
      <c r="E110" s="9">
        <v>79000</v>
      </c>
      <c r="F110" s="9">
        <v>79000</v>
      </c>
      <c r="G110" s="9">
        <v>104000</v>
      </c>
      <c r="H110" s="9">
        <v>107000</v>
      </c>
      <c r="I110" s="102">
        <f t="shared" si="9"/>
        <v>566000</v>
      </c>
      <c r="J110" s="102"/>
      <c r="K110" s="204">
        <f t="shared" si="10"/>
        <v>0.10600706713780919</v>
      </c>
      <c r="L110" s="204">
        <f t="shared" si="11"/>
        <v>0.11837455830388692</v>
      </c>
      <c r="M110" s="204">
        <f t="shared" si="12"/>
        <v>0.12367491166077739</v>
      </c>
      <c r="N110" s="204">
        <f t="shared" si="13"/>
        <v>0.13957597173144876</v>
      </c>
      <c r="O110" s="204">
        <f t="shared" si="14"/>
        <v>0.13957597173144876</v>
      </c>
      <c r="P110" s="204">
        <f t="shared" si="15"/>
        <v>0.18374558303886926</v>
      </c>
      <c r="Q110" s="204">
        <f t="shared" si="16"/>
        <v>0.18904593639575973</v>
      </c>
    </row>
    <row r="111" spans="1:17">
      <c r="A111" s="117" t="s">
        <v>205</v>
      </c>
      <c r="B111" s="105">
        <v>65000</v>
      </c>
      <c r="C111" s="9">
        <v>69000</v>
      </c>
      <c r="D111" s="9">
        <v>75000</v>
      </c>
      <c r="E111" s="9">
        <v>81000</v>
      </c>
      <c r="F111" s="9">
        <v>86000</v>
      </c>
      <c r="G111" s="9">
        <v>101000</v>
      </c>
      <c r="H111" s="9">
        <v>102000</v>
      </c>
      <c r="I111" s="102">
        <f t="shared" si="9"/>
        <v>579000</v>
      </c>
      <c r="J111" s="102"/>
      <c r="K111" s="204">
        <f t="shared" si="10"/>
        <v>0.11226252158894647</v>
      </c>
      <c r="L111" s="204">
        <f t="shared" si="11"/>
        <v>0.11917098445595854</v>
      </c>
      <c r="M111" s="204">
        <f t="shared" si="12"/>
        <v>0.12953367875647667</v>
      </c>
      <c r="N111" s="204">
        <f t="shared" si="13"/>
        <v>0.13989637305699482</v>
      </c>
      <c r="O111" s="204">
        <f t="shared" si="14"/>
        <v>0.14853195164075994</v>
      </c>
      <c r="P111" s="204">
        <f t="shared" si="15"/>
        <v>0.17443868739205526</v>
      </c>
      <c r="Q111" s="204">
        <f t="shared" si="16"/>
        <v>0.17616580310880828</v>
      </c>
    </row>
    <row r="112" spans="1:17">
      <c r="A112" s="115" t="s">
        <v>206</v>
      </c>
      <c r="B112" s="105">
        <v>81000</v>
      </c>
      <c r="C112" s="9">
        <v>99000</v>
      </c>
      <c r="D112" s="9">
        <v>102000</v>
      </c>
      <c r="E112" s="9">
        <v>125000</v>
      </c>
      <c r="F112" s="9">
        <v>131000</v>
      </c>
      <c r="G112" s="9">
        <v>172000</v>
      </c>
      <c r="H112" s="9">
        <v>156000</v>
      </c>
      <c r="I112" s="102">
        <f t="shared" si="9"/>
        <v>866000</v>
      </c>
      <c r="J112" s="102"/>
      <c r="K112" s="204">
        <f t="shared" si="10"/>
        <v>9.3533487297921478E-2</v>
      </c>
      <c r="L112" s="204">
        <f t="shared" si="11"/>
        <v>0.11431870669745958</v>
      </c>
      <c r="M112" s="204">
        <f t="shared" si="12"/>
        <v>0.11778290993071594</v>
      </c>
      <c r="N112" s="204">
        <f t="shared" si="13"/>
        <v>0.14434180138568128</v>
      </c>
      <c r="O112" s="204">
        <f t="shared" si="14"/>
        <v>0.151270207852194</v>
      </c>
      <c r="P112" s="204">
        <f t="shared" si="15"/>
        <v>0.19861431870669746</v>
      </c>
      <c r="Q112" s="204">
        <f t="shared" si="16"/>
        <v>0.18013856812933027</v>
      </c>
    </row>
    <row r="113" spans="1:17">
      <c r="A113" s="116" t="s">
        <v>207</v>
      </c>
      <c r="B113" s="105">
        <v>28000</v>
      </c>
      <c r="C113" s="9">
        <v>33000</v>
      </c>
      <c r="D113" s="9">
        <v>35000</v>
      </c>
      <c r="E113" s="9">
        <v>42000</v>
      </c>
      <c r="F113" s="9">
        <v>52000</v>
      </c>
      <c r="G113" s="9">
        <v>76000</v>
      </c>
      <c r="H113" s="9">
        <v>65000</v>
      </c>
      <c r="I113" s="102">
        <f t="shared" si="9"/>
        <v>331000</v>
      </c>
      <c r="J113" s="102"/>
      <c r="K113" s="204">
        <f t="shared" si="10"/>
        <v>8.4592145015105744E-2</v>
      </c>
      <c r="L113" s="204">
        <f t="shared" si="11"/>
        <v>9.9697885196374625E-2</v>
      </c>
      <c r="M113" s="204">
        <f t="shared" si="12"/>
        <v>0.10574018126888217</v>
      </c>
      <c r="N113" s="204">
        <f t="shared" si="13"/>
        <v>0.12688821752265861</v>
      </c>
      <c r="O113" s="204">
        <f t="shared" si="14"/>
        <v>0.15709969788519637</v>
      </c>
      <c r="P113" s="204">
        <f t="shared" si="15"/>
        <v>0.22960725075528701</v>
      </c>
      <c r="Q113" s="204">
        <f t="shared" si="16"/>
        <v>0.19637462235649547</v>
      </c>
    </row>
    <row r="114" spans="1:17">
      <c r="A114" s="116" t="s">
        <v>208</v>
      </c>
      <c r="B114" s="105">
        <v>13000</v>
      </c>
      <c r="C114" s="9">
        <v>10000</v>
      </c>
      <c r="D114" s="9">
        <v>18000</v>
      </c>
      <c r="E114" s="9">
        <v>14000</v>
      </c>
      <c r="F114" s="9">
        <v>19000</v>
      </c>
      <c r="G114" s="9">
        <v>21000</v>
      </c>
      <c r="H114" s="9">
        <v>14000</v>
      </c>
      <c r="I114" s="102">
        <f t="shared" si="9"/>
        <v>109000</v>
      </c>
      <c r="J114" s="102"/>
      <c r="K114" s="204">
        <f t="shared" si="10"/>
        <v>0.11926605504587157</v>
      </c>
      <c r="L114" s="204">
        <f t="shared" si="11"/>
        <v>9.1743119266055051E-2</v>
      </c>
      <c r="M114" s="204">
        <f t="shared" si="12"/>
        <v>0.16513761467889909</v>
      </c>
      <c r="N114" s="204">
        <f t="shared" si="13"/>
        <v>0.12844036697247707</v>
      </c>
      <c r="O114" s="204">
        <f t="shared" si="14"/>
        <v>0.1743119266055046</v>
      </c>
      <c r="P114" s="204">
        <f t="shared" si="15"/>
        <v>0.19266055045871561</v>
      </c>
      <c r="Q114" s="204">
        <f t="shared" si="16"/>
        <v>0.12844036697247707</v>
      </c>
    </row>
    <row r="115" spans="1:17">
      <c r="A115" s="116" t="s">
        <v>209</v>
      </c>
      <c r="B115" s="105">
        <v>26000</v>
      </c>
      <c r="C115" s="9">
        <v>34000</v>
      </c>
      <c r="D115" s="9">
        <v>24000</v>
      </c>
      <c r="E115" s="9">
        <v>44000</v>
      </c>
      <c r="F115" s="9">
        <v>43000</v>
      </c>
      <c r="G115" s="9">
        <v>49000</v>
      </c>
      <c r="H115" s="9">
        <v>48000</v>
      </c>
      <c r="I115" s="102">
        <f t="shared" si="9"/>
        <v>268000</v>
      </c>
      <c r="J115" s="102"/>
      <c r="K115" s="204">
        <f t="shared" si="10"/>
        <v>9.7014925373134331E-2</v>
      </c>
      <c r="L115" s="204">
        <f t="shared" si="11"/>
        <v>0.12686567164179105</v>
      </c>
      <c r="M115" s="204">
        <f t="shared" si="12"/>
        <v>8.9552238805970144E-2</v>
      </c>
      <c r="N115" s="204">
        <f t="shared" si="13"/>
        <v>0.16417910447761194</v>
      </c>
      <c r="O115" s="204">
        <f t="shared" si="14"/>
        <v>0.16044776119402984</v>
      </c>
      <c r="P115" s="204">
        <f t="shared" si="15"/>
        <v>0.18283582089552239</v>
      </c>
      <c r="Q115" s="204">
        <f t="shared" si="16"/>
        <v>0.17910447761194029</v>
      </c>
    </row>
    <row r="116" spans="1:17">
      <c r="A116" s="116" t="s">
        <v>210</v>
      </c>
      <c r="B116" s="105">
        <v>14000</v>
      </c>
      <c r="C116" s="9">
        <v>21000</v>
      </c>
      <c r="D116" s="9">
        <v>25000</v>
      </c>
      <c r="E116" s="9">
        <v>25000</v>
      </c>
      <c r="F116" s="9">
        <v>17000</v>
      </c>
      <c r="G116" s="9">
        <v>27000</v>
      </c>
      <c r="H116" s="9">
        <v>28000</v>
      </c>
      <c r="I116" s="102">
        <f t="shared" si="9"/>
        <v>157000</v>
      </c>
      <c r="J116" s="102"/>
      <c r="K116" s="204">
        <f t="shared" si="10"/>
        <v>8.9171974522292988E-2</v>
      </c>
      <c r="L116" s="204">
        <f t="shared" si="11"/>
        <v>0.13375796178343949</v>
      </c>
      <c r="M116" s="204">
        <f t="shared" si="12"/>
        <v>0.15923566878980891</v>
      </c>
      <c r="N116" s="204">
        <f t="shared" si="13"/>
        <v>0.15923566878980891</v>
      </c>
      <c r="O116" s="204">
        <f t="shared" si="14"/>
        <v>0.10828025477707007</v>
      </c>
      <c r="P116" s="204">
        <f t="shared" si="15"/>
        <v>0.17197452229299362</v>
      </c>
      <c r="Q116" s="204">
        <f t="shared" si="16"/>
        <v>0.17834394904458598</v>
      </c>
    </row>
    <row r="117" spans="1:17">
      <c r="A117" s="115" t="s">
        <v>211</v>
      </c>
      <c r="B117" s="105">
        <v>395000</v>
      </c>
      <c r="C117" s="9">
        <v>419000</v>
      </c>
      <c r="D117" s="9">
        <v>396000</v>
      </c>
      <c r="E117" s="9">
        <v>490000</v>
      </c>
      <c r="F117" s="9">
        <v>496000</v>
      </c>
      <c r="G117" s="9">
        <v>524000</v>
      </c>
      <c r="H117" s="9">
        <v>584000</v>
      </c>
      <c r="I117" s="102">
        <f t="shared" si="9"/>
        <v>3304000</v>
      </c>
      <c r="J117" s="102"/>
      <c r="K117" s="204">
        <f t="shared" si="10"/>
        <v>0.11955205811138014</v>
      </c>
      <c r="L117" s="204">
        <f t="shared" si="11"/>
        <v>0.12681598062953994</v>
      </c>
      <c r="M117" s="204">
        <f t="shared" si="12"/>
        <v>0.11985472154963681</v>
      </c>
      <c r="N117" s="204">
        <f t="shared" si="13"/>
        <v>0.14830508474576271</v>
      </c>
      <c r="O117" s="204">
        <f t="shared" si="14"/>
        <v>0.15012106537530268</v>
      </c>
      <c r="P117" s="204">
        <f t="shared" si="15"/>
        <v>0.15859564164648909</v>
      </c>
      <c r="Q117" s="204">
        <f t="shared" si="16"/>
        <v>0.17675544794188863</v>
      </c>
    </row>
    <row r="118" spans="1:17">
      <c r="A118" s="116" t="s">
        <v>212</v>
      </c>
      <c r="B118" s="105">
        <v>245000</v>
      </c>
      <c r="C118" s="9">
        <v>255000</v>
      </c>
      <c r="D118" s="9">
        <v>246000</v>
      </c>
      <c r="E118" s="9">
        <v>290000</v>
      </c>
      <c r="F118" s="9">
        <v>295000</v>
      </c>
      <c r="G118" s="9">
        <v>314000</v>
      </c>
      <c r="H118" s="9">
        <v>349000</v>
      </c>
      <c r="I118" s="102">
        <f t="shared" si="9"/>
        <v>1994000</v>
      </c>
      <c r="J118" s="102"/>
      <c r="K118" s="204">
        <f t="shared" si="10"/>
        <v>0.12286860581745236</v>
      </c>
      <c r="L118" s="204">
        <f t="shared" si="11"/>
        <v>0.12788365095285859</v>
      </c>
      <c r="M118" s="204">
        <f t="shared" si="12"/>
        <v>0.12337011033099297</v>
      </c>
      <c r="N118" s="204">
        <f t="shared" si="13"/>
        <v>0.14543630892678033</v>
      </c>
      <c r="O118" s="204">
        <f t="shared" si="14"/>
        <v>0.14794383149448345</v>
      </c>
      <c r="P118" s="204">
        <f t="shared" si="15"/>
        <v>0.15747241725175526</v>
      </c>
      <c r="Q118" s="204">
        <f t="shared" si="16"/>
        <v>0.17502507522567703</v>
      </c>
    </row>
    <row r="119" spans="1:17">
      <c r="A119" s="186" t="s">
        <v>213</v>
      </c>
      <c r="B119" s="105">
        <v>43000</v>
      </c>
      <c r="C119" s="9">
        <v>27000</v>
      </c>
      <c r="D119" s="9">
        <v>29000</v>
      </c>
      <c r="E119" s="9">
        <v>39000</v>
      </c>
      <c r="F119" s="9">
        <v>54000</v>
      </c>
      <c r="G119" s="9">
        <v>40000</v>
      </c>
      <c r="H119" s="9">
        <v>53000</v>
      </c>
      <c r="I119" s="102">
        <f t="shared" si="9"/>
        <v>285000</v>
      </c>
      <c r="J119" s="102"/>
      <c r="K119" s="204">
        <f t="shared" si="10"/>
        <v>0.15087719298245614</v>
      </c>
      <c r="L119" s="204">
        <f t="shared" si="11"/>
        <v>9.4736842105263161E-2</v>
      </c>
      <c r="M119" s="204">
        <f t="shared" si="12"/>
        <v>0.10175438596491228</v>
      </c>
      <c r="N119" s="204">
        <f t="shared" si="13"/>
        <v>0.1368421052631579</v>
      </c>
      <c r="O119" s="204">
        <f t="shared" si="14"/>
        <v>0.18947368421052632</v>
      </c>
      <c r="P119" s="204">
        <f t="shared" si="15"/>
        <v>0.14035087719298245</v>
      </c>
      <c r="Q119" s="204">
        <f t="shared" si="16"/>
        <v>0.18596491228070175</v>
      </c>
    </row>
    <row r="120" spans="1:17">
      <c r="A120" s="116" t="s">
        <v>214</v>
      </c>
      <c r="B120" s="105">
        <v>27000</v>
      </c>
      <c r="C120" s="9">
        <v>36000</v>
      </c>
      <c r="D120" s="9">
        <v>34000</v>
      </c>
      <c r="E120" s="9">
        <v>37000</v>
      </c>
      <c r="F120" s="9">
        <v>33000</v>
      </c>
      <c r="G120" s="9">
        <v>40000</v>
      </c>
      <c r="H120" s="9">
        <v>39000</v>
      </c>
      <c r="I120" s="102">
        <f t="shared" si="9"/>
        <v>246000</v>
      </c>
      <c r="J120" s="102"/>
      <c r="K120" s="204">
        <f t="shared" si="10"/>
        <v>0.10975609756097561</v>
      </c>
      <c r="L120" s="204">
        <f t="shared" si="11"/>
        <v>0.14634146341463414</v>
      </c>
      <c r="M120" s="204">
        <f t="shared" si="12"/>
        <v>0.13821138211382114</v>
      </c>
      <c r="N120" s="204">
        <f t="shared" si="13"/>
        <v>0.15040650406504066</v>
      </c>
      <c r="O120" s="204">
        <f t="shared" si="14"/>
        <v>0.13414634146341464</v>
      </c>
      <c r="P120" s="204">
        <f t="shared" si="15"/>
        <v>0.16260162601626016</v>
      </c>
      <c r="Q120" s="204">
        <f t="shared" si="16"/>
        <v>0.15853658536585366</v>
      </c>
    </row>
    <row r="121" spans="1:17">
      <c r="A121" s="116" t="s">
        <v>215</v>
      </c>
      <c r="B121" s="105">
        <v>19000</v>
      </c>
      <c r="C121" s="9">
        <v>11000</v>
      </c>
      <c r="D121" s="9">
        <v>12000</v>
      </c>
      <c r="E121" s="9">
        <v>19000</v>
      </c>
      <c r="F121" s="9">
        <v>20000</v>
      </c>
      <c r="G121" s="9">
        <v>16000</v>
      </c>
      <c r="H121" s="9">
        <v>17000</v>
      </c>
      <c r="I121" s="102">
        <f t="shared" si="9"/>
        <v>114000</v>
      </c>
      <c r="J121" s="102"/>
      <c r="K121" s="204">
        <f t="shared" si="10"/>
        <v>0.16666666666666666</v>
      </c>
      <c r="L121" s="204">
        <f t="shared" si="11"/>
        <v>9.6491228070175433E-2</v>
      </c>
      <c r="M121" s="204">
        <f t="shared" si="12"/>
        <v>0.10526315789473684</v>
      </c>
      <c r="N121" s="204">
        <f t="shared" si="13"/>
        <v>0.16666666666666666</v>
      </c>
      <c r="O121" s="204">
        <f t="shared" si="14"/>
        <v>0.17543859649122806</v>
      </c>
      <c r="P121" s="204">
        <f t="shared" si="15"/>
        <v>0.14035087719298245</v>
      </c>
      <c r="Q121" s="204">
        <f t="shared" si="16"/>
        <v>0.14912280701754385</v>
      </c>
    </row>
    <row r="122" spans="1:17">
      <c r="A122" s="116" t="s">
        <v>216</v>
      </c>
      <c r="B122" s="105">
        <v>20000</v>
      </c>
      <c r="C122" s="9">
        <v>27000</v>
      </c>
      <c r="D122" s="9">
        <v>24000</v>
      </c>
      <c r="E122" s="9">
        <v>32000</v>
      </c>
      <c r="F122" s="9">
        <v>25000</v>
      </c>
      <c r="G122" s="9">
        <v>30000</v>
      </c>
      <c r="H122" s="9">
        <v>38000</v>
      </c>
      <c r="I122" s="102">
        <f t="shared" si="9"/>
        <v>196000</v>
      </c>
      <c r="J122" s="102"/>
      <c r="K122" s="204">
        <f t="shared" si="10"/>
        <v>0.10204081632653061</v>
      </c>
      <c r="L122" s="204">
        <f t="shared" si="11"/>
        <v>0.13775510204081631</v>
      </c>
      <c r="M122" s="204">
        <f t="shared" si="12"/>
        <v>0.12244897959183673</v>
      </c>
      <c r="N122" s="204">
        <f t="shared" si="13"/>
        <v>0.16326530612244897</v>
      </c>
      <c r="O122" s="204">
        <f t="shared" si="14"/>
        <v>0.12755102040816327</v>
      </c>
      <c r="P122" s="204">
        <f t="shared" si="15"/>
        <v>0.15306122448979592</v>
      </c>
      <c r="Q122" s="204">
        <f t="shared" si="16"/>
        <v>0.19387755102040816</v>
      </c>
    </row>
    <row r="123" spans="1:17">
      <c r="A123" s="116" t="s">
        <v>217</v>
      </c>
      <c r="B123" s="105">
        <v>41000</v>
      </c>
      <c r="C123" s="9">
        <v>64000</v>
      </c>
      <c r="D123" s="9">
        <v>52000</v>
      </c>
      <c r="E123" s="9">
        <v>73000</v>
      </c>
      <c r="F123" s="9">
        <v>69000</v>
      </c>
      <c r="G123" s="9">
        <v>84000</v>
      </c>
      <c r="H123" s="9">
        <v>89000</v>
      </c>
      <c r="I123" s="102">
        <f t="shared" si="9"/>
        <v>472000</v>
      </c>
      <c r="J123" s="102"/>
      <c r="K123" s="204">
        <f t="shared" si="10"/>
        <v>8.6864406779661021E-2</v>
      </c>
      <c r="L123" s="204">
        <f t="shared" si="11"/>
        <v>0.13559322033898305</v>
      </c>
      <c r="M123" s="204">
        <f t="shared" si="12"/>
        <v>0.11016949152542373</v>
      </c>
      <c r="N123" s="204">
        <f t="shared" si="13"/>
        <v>0.15466101694915255</v>
      </c>
      <c r="O123" s="204">
        <f t="shared" si="14"/>
        <v>0.1461864406779661</v>
      </c>
      <c r="P123" s="204">
        <f t="shared" si="15"/>
        <v>0.17796610169491525</v>
      </c>
      <c r="Q123" s="204">
        <f t="shared" si="16"/>
        <v>0.1885593220338983</v>
      </c>
    </row>
    <row r="124" spans="1:17">
      <c r="A124" s="135" t="s">
        <v>221</v>
      </c>
      <c r="B124" s="136">
        <v>605000</v>
      </c>
      <c r="C124" s="137">
        <v>692000</v>
      </c>
      <c r="D124" s="137">
        <v>724000</v>
      </c>
      <c r="E124" s="137">
        <v>751000</v>
      </c>
      <c r="F124" s="137">
        <v>786000</v>
      </c>
      <c r="G124" s="137">
        <v>938000</v>
      </c>
      <c r="H124" s="137">
        <v>962000</v>
      </c>
      <c r="I124" s="282">
        <f t="shared" si="9"/>
        <v>5458000</v>
      </c>
      <c r="J124" s="282"/>
      <c r="K124" s="283">
        <f t="shared" si="10"/>
        <v>0.11084646390619274</v>
      </c>
      <c r="L124" s="283">
        <f t="shared" si="11"/>
        <v>0.12678636863319898</v>
      </c>
      <c r="M124" s="283">
        <f t="shared" si="12"/>
        <v>0.13264932209600586</v>
      </c>
      <c r="N124" s="283">
        <f t="shared" si="13"/>
        <v>0.13759618908024918</v>
      </c>
      <c r="O124" s="283">
        <f t="shared" si="14"/>
        <v>0.14400879443019421</v>
      </c>
      <c r="P124" s="283">
        <f t="shared" si="15"/>
        <v>0.17185782337852692</v>
      </c>
      <c r="Q124" s="283">
        <f t="shared" si="16"/>
        <v>0.17625503847563209</v>
      </c>
    </row>
    <row r="125" spans="1:17">
      <c r="A125" s="138" t="s">
        <v>178</v>
      </c>
      <c r="B125" s="105">
        <v>556000</v>
      </c>
      <c r="C125" s="9">
        <v>624000</v>
      </c>
      <c r="D125" s="9">
        <v>650000</v>
      </c>
      <c r="E125" s="9">
        <v>664000</v>
      </c>
      <c r="F125" s="9">
        <v>702000</v>
      </c>
      <c r="G125" s="9">
        <v>841000</v>
      </c>
      <c r="H125" s="9">
        <v>861000</v>
      </c>
      <c r="I125" s="102">
        <f t="shared" si="9"/>
        <v>4898000</v>
      </c>
      <c r="J125" s="102"/>
      <c r="K125" s="204">
        <f t="shared" si="10"/>
        <v>0.11351572070232747</v>
      </c>
      <c r="L125" s="204">
        <f t="shared" si="11"/>
        <v>0.1273989383421805</v>
      </c>
      <c r="M125" s="204">
        <f t="shared" si="12"/>
        <v>0.13270722743977134</v>
      </c>
      <c r="N125" s="204">
        <f t="shared" si="13"/>
        <v>0.13556553695385873</v>
      </c>
      <c r="O125" s="204">
        <f t="shared" si="14"/>
        <v>0.14332380563495303</v>
      </c>
      <c r="P125" s="204">
        <f t="shared" si="15"/>
        <v>0.17170273581053491</v>
      </c>
      <c r="Q125" s="204">
        <f t="shared" si="16"/>
        <v>0.17578603511637403</v>
      </c>
    </row>
    <row r="126" spans="1:17">
      <c r="A126" s="150" t="s">
        <v>179</v>
      </c>
      <c r="B126" s="105">
        <v>149000</v>
      </c>
      <c r="C126" s="9">
        <v>179000</v>
      </c>
      <c r="D126" s="9">
        <v>177000</v>
      </c>
      <c r="E126" s="9">
        <v>178000</v>
      </c>
      <c r="F126" s="9">
        <v>189000</v>
      </c>
      <c r="G126" s="9">
        <v>229000</v>
      </c>
      <c r="H126" s="9">
        <v>240000</v>
      </c>
      <c r="I126" s="102">
        <f t="shared" si="9"/>
        <v>1341000</v>
      </c>
      <c r="J126" s="102"/>
      <c r="K126" s="204">
        <f t="shared" si="10"/>
        <v>0.1111111111111111</v>
      </c>
      <c r="L126" s="204">
        <f t="shared" si="11"/>
        <v>0.13348247576435496</v>
      </c>
      <c r="M126" s="204">
        <f t="shared" si="12"/>
        <v>0.1319910514541387</v>
      </c>
      <c r="N126" s="204">
        <f t="shared" si="13"/>
        <v>0.13273676360924683</v>
      </c>
      <c r="O126" s="204">
        <f t="shared" si="14"/>
        <v>0.14093959731543623</v>
      </c>
      <c r="P126" s="204">
        <f t="shared" si="15"/>
        <v>0.17076808351976136</v>
      </c>
      <c r="Q126" s="204">
        <f t="shared" si="16"/>
        <v>0.17897091722595079</v>
      </c>
    </row>
    <row r="127" spans="1:17">
      <c r="A127" s="140" t="s">
        <v>180</v>
      </c>
      <c r="B127" s="105">
        <v>14000</v>
      </c>
      <c r="C127" s="9">
        <v>11000</v>
      </c>
      <c r="D127" s="9">
        <v>10000</v>
      </c>
      <c r="E127" s="9">
        <v>9000</v>
      </c>
      <c r="F127" s="9">
        <v>12000</v>
      </c>
      <c r="G127" s="9">
        <v>15000</v>
      </c>
      <c r="H127" s="9">
        <v>14000</v>
      </c>
      <c r="I127" s="102">
        <f t="shared" si="9"/>
        <v>85000</v>
      </c>
      <c r="J127" s="102"/>
      <c r="K127" s="204">
        <f t="shared" si="10"/>
        <v>0.16470588235294117</v>
      </c>
      <c r="L127" s="204">
        <f t="shared" si="11"/>
        <v>0.12941176470588237</v>
      </c>
      <c r="M127" s="204">
        <f t="shared" si="12"/>
        <v>0.11764705882352941</v>
      </c>
      <c r="N127" s="204">
        <f t="shared" si="13"/>
        <v>0.10588235294117647</v>
      </c>
      <c r="O127" s="204">
        <f t="shared" si="14"/>
        <v>0.14117647058823529</v>
      </c>
      <c r="P127" s="204">
        <f t="shared" si="15"/>
        <v>0.17647058823529413</v>
      </c>
      <c r="Q127" s="204">
        <f t="shared" si="16"/>
        <v>0.16470588235294117</v>
      </c>
    </row>
    <row r="128" spans="1:17">
      <c r="A128" s="140" t="s">
        <v>181</v>
      </c>
      <c r="B128" s="105">
        <v>133000</v>
      </c>
      <c r="C128" s="9">
        <v>162000</v>
      </c>
      <c r="D128" s="9">
        <v>162000</v>
      </c>
      <c r="E128" s="9">
        <v>166000</v>
      </c>
      <c r="F128" s="9">
        <v>173000</v>
      </c>
      <c r="G128" s="9">
        <v>209000</v>
      </c>
      <c r="H128" s="9">
        <v>221000</v>
      </c>
      <c r="I128" s="102">
        <f t="shared" si="9"/>
        <v>1226000</v>
      </c>
      <c r="J128" s="102"/>
      <c r="K128" s="204">
        <f t="shared" si="10"/>
        <v>0.10848287112561175</v>
      </c>
      <c r="L128" s="204">
        <f t="shared" si="11"/>
        <v>0.13213703099510604</v>
      </c>
      <c r="M128" s="204">
        <f t="shared" si="12"/>
        <v>0.13213703099510604</v>
      </c>
      <c r="N128" s="204">
        <f t="shared" si="13"/>
        <v>0.13539967373572595</v>
      </c>
      <c r="O128" s="204">
        <f t="shared" si="14"/>
        <v>0.14110929853181076</v>
      </c>
      <c r="P128" s="204">
        <f t="shared" si="15"/>
        <v>0.17047308319738988</v>
      </c>
      <c r="Q128" s="204">
        <f t="shared" si="16"/>
        <v>0.18026101141924961</v>
      </c>
    </row>
    <row r="129" spans="1:17">
      <c r="A129" s="140" t="s">
        <v>182</v>
      </c>
      <c r="B129" s="105">
        <v>2000</v>
      </c>
      <c r="C129" s="9">
        <v>6000</v>
      </c>
      <c r="D129" s="9">
        <v>5000</v>
      </c>
      <c r="E129" s="9">
        <v>3000</v>
      </c>
      <c r="F129" s="9">
        <v>4000</v>
      </c>
      <c r="G129" s="9">
        <v>5000</v>
      </c>
      <c r="H129" s="9">
        <v>5000</v>
      </c>
      <c r="I129" s="102">
        <f t="shared" si="9"/>
        <v>30000</v>
      </c>
      <c r="J129" s="102"/>
      <c r="K129" s="204">
        <f t="shared" si="10"/>
        <v>6.6666666666666666E-2</v>
      </c>
      <c r="L129" s="204">
        <f t="shared" si="11"/>
        <v>0.2</v>
      </c>
      <c r="M129" s="204">
        <f t="shared" si="12"/>
        <v>0.16666666666666666</v>
      </c>
      <c r="N129" s="204">
        <f t="shared" si="13"/>
        <v>0.1</v>
      </c>
      <c r="O129" s="204">
        <f t="shared" si="14"/>
        <v>0.13333333333333333</v>
      </c>
      <c r="P129" s="204">
        <f t="shared" si="15"/>
        <v>0.16666666666666666</v>
      </c>
      <c r="Q129" s="204">
        <f t="shared" si="16"/>
        <v>0.16666666666666666</v>
      </c>
    </row>
    <row r="130" spans="1:17">
      <c r="A130" s="139" t="s">
        <v>183</v>
      </c>
      <c r="B130" s="105">
        <v>51000</v>
      </c>
      <c r="C130" s="9">
        <v>63000</v>
      </c>
      <c r="D130" s="9">
        <v>63000</v>
      </c>
      <c r="E130" s="9">
        <v>68000</v>
      </c>
      <c r="F130" s="9">
        <v>76000</v>
      </c>
      <c r="G130" s="9">
        <v>94000</v>
      </c>
      <c r="H130" s="9">
        <v>98000</v>
      </c>
      <c r="I130" s="102">
        <f t="shared" si="9"/>
        <v>513000</v>
      </c>
      <c r="J130" s="102"/>
      <c r="K130" s="204">
        <f t="shared" si="10"/>
        <v>9.9415204678362568E-2</v>
      </c>
      <c r="L130" s="204">
        <f t="shared" si="11"/>
        <v>0.12280701754385964</v>
      </c>
      <c r="M130" s="204">
        <f t="shared" si="12"/>
        <v>0.12280701754385964</v>
      </c>
      <c r="N130" s="204">
        <f t="shared" si="13"/>
        <v>0.13255360623781676</v>
      </c>
      <c r="O130" s="204">
        <f t="shared" si="14"/>
        <v>0.14814814814814814</v>
      </c>
      <c r="P130" s="204">
        <f t="shared" si="15"/>
        <v>0.18323586744639375</v>
      </c>
      <c r="Q130" s="204">
        <f t="shared" si="16"/>
        <v>0.19103313840155944</v>
      </c>
    </row>
    <row r="131" spans="1:17">
      <c r="A131" s="140" t="s">
        <v>184</v>
      </c>
      <c r="B131" s="105">
        <v>15000</v>
      </c>
      <c r="C131" s="9">
        <v>24000</v>
      </c>
      <c r="D131" s="9">
        <v>28000</v>
      </c>
      <c r="E131" s="9">
        <v>30000</v>
      </c>
      <c r="F131" s="9">
        <v>39000</v>
      </c>
      <c r="G131" s="9">
        <v>50000</v>
      </c>
      <c r="H131" s="9">
        <v>51000</v>
      </c>
      <c r="I131" s="102">
        <f t="shared" si="9"/>
        <v>237000</v>
      </c>
      <c r="J131" s="102"/>
      <c r="K131" s="204">
        <f t="shared" si="10"/>
        <v>6.3291139240506333E-2</v>
      </c>
      <c r="L131" s="204">
        <f t="shared" si="11"/>
        <v>0.10126582278481013</v>
      </c>
      <c r="M131" s="204">
        <f t="shared" si="12"/>
        <v>0.11814345991561181</v>
      </c>
      <c r="N131" s="204">
        <f t="shared" si="13"/>
        <v>0.12658227848101267</v>
      </c>
      <c r="O131" s="204">
        <f t="shared" si="14"/>
        <v>0.16455696202531644</v>
      </c>
      <c r="P131" s="204">
        <f t="shared" si="15"/>
        <v>0.2109704641350211</v>
      </c>
      <c r="Q131" s="204">
        <f t="shared" si="16"/>
        <v>0.21518987341772153</v>
      </c>
    </row>
    <row r="132" spans="1:17">
      <c r="A132" s="140" t="s">
        <v>185</v>
      </c>
      <c r="B132" s="105">
        <v>36000</v>
      </c>
      <c r="C132" s="9">
        <v>38000</v>
      </c>
      <c r="D132" s="9">
        <v>35000</v>
      </c>
      <c r="E132" s="9">
        <v>38000</v>
      </c>
      <c r="F132" s="9">
        <v>37000</v>
      </c>
      <c r="G132" s="9">
        <v>45000</v>
      </c>
      <c r="H132" s="9">
        <v>47000</v>
      </c>
      <c r="I132" s="102">
        <f t="shared" si="9"/>
        <v>276000</v>
      </c>
      <c r="J132" s="102"/>
      <c r="K132" s="204">
        <f t="shared" si="10"/>
        <v>0.13043478260869565</v>
      </c>
      <c r="L132" s="204">
        <f t="shared" si="11"/>
        <v>0.13768115942028986</v>
      </c>
      <c r="M132" s="204">
        <f t="shared" si="12"/>
        <v>0.12681159420289856</v>
      </c>
      <c r="N132" s="204">
        <f t="shared" si="13"/>
        <v>0.13768115942028986</v>
      </c>
      <c r="O132" s="204">
        <f t="shared" si="14"/>
        <v>0.13405797101449277</v>
      </c>
      <c r="P132" s="204">
        <f t="shared" si="15"/>
        <v>0.16304347826086957</v>
      </c>
      <c r="Q132" s="204">
        <f t="shared" si="16"/>
        <v>0.17028985507246377</v>
      </c>
    </row>
    <row r="133" spans="1:17">
      <c r="A133" s="139" t="s">
        <v>186</v>
      </c>
      <c r="B133" s="105">
        <v>111000</v>
      </c>
      <c r="C133" s="9">
        <v>128000</v>
      </c>
      <c r="D133" s="9">
        <v>128000</v>
      </c>
      <c r="E133" s="9">
        <v>136000</v>
      </c>
      <c r="F133" s="9">
        <v>121000</v>
      </c>
      <c r="G133" s="9">
        <v>140000</v>
      </c>
      <c r="H133" s="9">
        <v>155000</v>
      </c>
      <c r="I133" s="102">
        <f t="shared" ref="I133:I163" si="17">SUM(B133:H133)</f>
        <v>919000</v>
      </c>
      <c r="J133" s="102"/>
      <c r="K133" s="204">
        <f t="shared" ref="K133:K163" si="18">B133/$I133</f>
        <v>0.12078346028291621</v>
      </c>
      <c r="L133" s="204">
        <f t="shared" ref="L133:L163" si="19">C133/$I133</f>
        <v>0.13928182807399347</v>
      </c>
      <c r="M133" s="204">
        <f t="shared" ref="M133:M163" si="20">D133/$I133</f>
        <v>0.13928182807399347</v>
      </c>
      <c r="N133" s="204">
        <f t="shared" ref="N133:N163" si="21">E133/$I133</f>
        <v>0.14798694232861806</v>
      </c>
      <c r="O133" s="204">
        <f t="shared" ref="O133:O163" si="22">F133/$I133</f>
        <v>0.13166485310119697</v>
      </c>
      <c r="P133" s="204">
        <f t="shared" ref="P133:P163" si="23">G133/$I133</f>
        <v>0.15233949945593037</v>
      </c>
      <c r="Q133" s="204">
        <f t="shared" ref="Q133:Q163" si="24">H133/$I133</f>
        <v>0.16866158868335146</v>
      </c>
    </row>
    <row r="134" spans="1:17">
      <c r="A134" s="140" t="s">
        <v>187</v>
      </c>
      <c r="B134" s="105">
        <v>53000</v>
      </c>
      <c r="C134" s="9">
        <v>57000</v>
      </c>
      <c r="D134" s="9">
        <v>59000</v>
      </c>
      <c r="E134" s="9">
        <v>61000</v>
      </c>
      <c r="F134" s="9">
        <v>51000</v>
      </c>
      <c r="G134" s="9">
        <v>62000</v>
      </c>
      <c r="H134" s="9">
        <v>68000</v>
      </c>
      <c r="I134" s="102">
        <f t="shared" si="17"/>
        <v>411000</v>
      </c>
      <c r="J134" s="102"/>
      <c r="K134" s="204">
        <f t="shared" si="18"/>
        <v>0.12895377128953772</v>
      </c>
      <c r="L134" s="204">
        <f t="shared" si="19"/>
        <v>0.13868613138686131</v>
      </c>
      <c r="M134" s="204">
        <f t="shared" si="20"/>
        <v>0.14355231143552311</v>
      </c>
      <c r="N134" s="204">
        <f t="shared" si="21"/>
        <v>0.14841849148418493</v>
      </c>
      <c r="O134" s="204">
        <f t="shared" si="22"/>
        <v>0.12408759124087591</v>
      </c>
      <c r="P134" s="204">
        <f t="shared" si="23"/>
        <v>0.15085158150851583</v>
      </c>
      <c r="Q134" s="204">
        <f t="shared" si="24"/>
        <v>0.16545012165450121</v>
      </c>
    </row>
    <row r="135" spans="1:17">
      <c r="A135" s="140" t="s">
        <v>188</v>
      </c>
      <c r="B135" s="105">
        <v>16000</v>
      </c>
      <c r="C135" s="9">
        <v>22000</v>
      </c>
      <c r="D135" s="9">
        <v>21000</v>
      </c>
      <c r="E135" s="9">
        <v>20000</v>
      </c>
      <c r="F135" s="9">
        <v>16000</v>
      </c>
      <c r="G135" s="9">
        <v>20000</v>
      </c>
      <c r="H135" s="9">
        <v>27000</v>
      </c>
      <c r="I135" s="102">
        <f t="shared" si="17"/>
        <v>142000</v>
      </c>
      <c r="J135" s="102"/>
      <c r="K135" s="204">
        <f t="shared" si="18"/>
        <v>0.11267605633802817</v>
      </c>
      <c r="L135" s="204">
        <f t="shared" si="19"/>
        <v>0.15492957746478872</v>
      </c>
      <c r="M135" s="204">
        <f t="shared" si="20"/>
        <v>0.14788732394366197</v>
      </c>
      <c r="N135" s="204">
        <f t="shared" si="21"/>
        <v>0.14084507042253522</v>
      </c>
      <c r="O135" s="204">
        <f t="shared" si="22"/>
        <v>0.11267605633802817</v>
      </c>
      <c r="P135" s="204">
        <f t="shared" si="23"/>
        <v>0.14084507042253522</v>
      </c>
      <c r="Q135" s="204">
        <f t="shared" si="24"/>
        <v>0.19014084507042253</v>
      </c>
    </row>
    <row r="136" spans="1:17">
      <c r="A136" s="140" t="s">
        <v>189</v>
      </c>
      <c r="B136" s="105">
        <v>40000</v>
      </c>
      <c r="C136" s="9">
        <v>48000</v>
      </c>
      <c r="D136" s="9">
        <v>47000</v>
      </c>
      <c r="E136" s="9">
        <v>54000</v>
      </c>
      <c r="F136" s="9">
        <v>52000</v>
      </c>
      <c r="G136" s="9">
        <v>58000</v>
      </c>
      <c r="H136" s="9">
        <v>59000</v>
      </c>
      <c r="I136" s="102">
        <f t="shared" si="17"/>
        <v>358000</v>
      </c>
      <c r="J136" s="102"/>
      <c r="K136" s="204">
        <f t="shared" si="18"/>
        <v>0.11173184357541899</v>
      </c>
      <c r="L136" s="204">
        <f t="shared" si="19"/>
        <v>0.13407821229050279</v>
      </c>
      <c r="M136" s="204">
        <f t="shared" si="20"/>
        <v>0.13128491620111732</v>
      </c>
      <c r="N136" s="204">
        <f t="shared" si="21"/>
        <v>0.15083798882681565</v>
      </c>
      <c r="O136" s="204">
        <f t="shared" si="22"/>
        <v>0.14525139664804471</v>
      </c>
      <c r="P136" s="204">
        <f t="shared" si="23"/>
        <v>0.16201117318435754</v>
      </c>
      <c r="Q136" s="204">
        <f t="shared" si="24"/>
        <v>0.16480446927374301</v>
      </c>
    </row>
    <row r="137" spans="1:17">
      <c r="A137" s="140" t="s">
        <v>190</v>
      </c>
      <c r="B137" s="105">
        <v>2000</v>
      </c>
      <c r="C137" s="13" t="s">
        <v>191</v>
      </c>
      <c r="D137" s="13" t="s">
        <v>191</v>
      </c>
      <c r="E137" s="13" t="s">
        <v>220</v>
      </c>
      <c r="F137" s="13" t="s">
        <v>191</v>
      </c>
      <c r="G137" s="13" t="s">
        <v>222</v>
      </c>
      <c r="H137" s="9">
        <v>1000</v>
      </c>
      <c r="I137" s="102">
        <f t="shared" si="17"/>
        <v>3000</v>
      </c>
      <c r="J137" s="102"/>
      <c r="K137" s="204">
        <f t="shared" si="18"/>
        <v>0.66666666666666663</v>
      </c>
      <c r="L137" s="204" t="e">
        <f t="shared" si="19"/>
        <v>#VALUE!</v>
      </c>
      <c r="M137" s="204" t="e">
        <f t="shared" si="20"/>
        <v>#VALUE!</v>
      </c>
      <c r="N137" s="204" t="e">
        <f t="shared" si="21"/>
        <v>#VALUE!</v>
      </c>
      <c r="O137" s="204" t="e">
        <f t="shared" si="22"/>
        <v>#VALUE!</v>
      </c>
      <c r="P137" s="204" t="e">
        <f t="shared" si="23"/>
        <v>#VALUE!</v>
      </c>
      <c r="Q137" s="204">
        <f t="shared" si="24"/>
        <v>0.33333333333333331</v>
      </c>
    </row>
    <row r="138" spans="1:17">
      <c r="A138" s="139" t="s">
        <v>192</v>
      </c>
      <c r="B138" s="105">
        <v>144000</v>
      </c>
      <c r="C138" s="9">
        <v>154000</v>
      </c>
      <c r="D138" s="9">
        <v>164000</v>
      </c>
      <c r="E138" s="9">
        <v>162000</v>
      </c>
      <c r="F138" s="9">
        <v>174000</v>
      </c>
      <c r="G138" s="9">
        <v>207000</v>
      </c>
      <c r="H138" s="9">
        <v>196000</v>
      </c>
      <c r="I138" s="102">
        <f t="shared" si="17"/>
        <v>1201000</v>
      </c>
      <c r="J138" s="102"/>
      <c r="K138" s="204">
        <f t="shared" si="18"/>
        <v>0.11990008326394672</v>
      </c>
      <c r="L138" s="204">
        <f t="shared" si="19"/>
        <v>0.12822647793505412</v>
      </c>
      <c r="M138" s="204">
        <f t="shared" si="20"/>
        <v>0.13655287260616153</v>
      </c>
      <c r="N138" s="204">
        <f t="shared" si="21"/>
        <v>0.13488759367194006</v>
      </c>
      <c r="O138" s="204">
        <f t="shared" si="22"/>
        <v>0.14487926727726894</v>
      </c>
      <c r="P138" s="204">
        <f t="shared" si="23"/>
        <v>0.17235636969192339</v>
      </c>
      <c r="Q138" s="204">
        <f t="shared" si="24"/>
        <v>0.16319733555370525</v>
      </c>
    </row>
    <row r="139" spans="1:17">
      <c r="A139" s="140" t="s">
        <v>193</v>
      </c>
      <c r="B139" s="105">
        <v>17000</v>
      </c>
      <c r="C139" s="9">
        <v>26000</v>
      </c>
      <c r="D139" s="9">
        <v>22000</v>
      </c>
      <c r="E139" s="9">
        <v>21000</v>
      </c>
      <c r="F139" s="9">
        <v>25000</v>
      </c>
      <c r="G139" s="9">
        <v>25000</v>
      </c>
      <c r="H139" s="9">
        <v>26000</v>
      </c>
      <c r="I139" s="102">
        <f t="shared" si="17"/>
        <v>162000</v>
      </c>
      <c r="J139" s="102"/>
      <c r="K139" s="204">
        <f t="shared" si="18"/>
        <v>0.10493827160493827</v>
      </c>
      <c r="L139" s="204">
        <f t="shared" si="19"/>
        <v>0.16049382716049382</v>
      </c>
      <c r="M139" s="204">
        <f t="shared" si="20"/>
        <v>0.13580246913580246</v>
      </c>
      <c r="N139" s="204">
        <f t="shared" si="21"/>
        <v>0.12962962962962962</v>
      </c>
      <c r="O139" s="204">
        <f t="shared" si="22"/>
        <v>0.15432098765432098</v>
      </c>
      <c r="P139" s="204">
        <f t="shared" si="23"/>
        <v>0.15432098765432098</v>
      </c>
      <c r="Q139" s="204">
        <f t="shared" si="24"/>
        <v>0.16049382716049382</v>
      </c>
    </row>
    <row r="140" spans="1:17">
      <c r="A140" s="140" t="s">
        <v>194</v>
      </c>
      <c r="B140" s="105">
        <v>10000</v>
      </c>
      <c r="C140" s="9">
        <v>15000</v>
      </c>
      <c r="D140" s="9">
        <v>16000</v>
      </c>
      <c r="E140" s="9">
        <v>16000</v>
      </c>
      <c r="F140" s="9">
        <v>17000</v>
      </c>
      <c r="G140" s="9">
        <v>25000</v>
      </c>
      <c r="H140" s="9">
        <v>16000</v>
      </c>
      <c r="I140" s="102">
        <f t="shared" si="17"/>
        <v>115000</v>
      </c>
      <c r="J140" s="102"/>
      <c r="K140" s="204">
        <f t="shared" si="18"/>
        <v>8.6956521739130432E-2</v>
      </c>
      <c r="L140" s="204">
        <f t="shared" si="19"/>
        <v>0.13043478260869565</v>
      </c>
      <c r="M140" s="204">
        <f t="shared" si="20"/>
        <v>0.1391304347826087</v>
      </c>
      <c r="N140" s="204">
        <f t="shared" si="21"/>
        <v>0.1391304347826087</v>
      </c>
      <c r="O140" s="204">
        <f t="shared" si="22"/>
        <v>0.14782608695652175</v>
      </c>
      <c r="P140" s="204">
        <f t="shared" si="23"/>
        <v>0.21739130434782608</v>
      </c>
      <c r="Q140" s="204">
        <f t="shared" si="24"/>
        <v>0.1391304347826087</v>
      </c>
    </row>
    <row r="141" spans="1:17">
      <c r="A141" s="140" t="s">
        <v>195</v>
      </c>
      <c r="B141" s="105">
        <v>94000</v>
      </c>
      <c r="C141" s="9">
        <v>90000</v>
      </c>
      <c r="D141" s="9">
        <v>93000</v>
      </c>
      <c r="E141" s="9">
        <v>96000</v>
      </c>
      <c r="F141" s="9">
        <v>95000</v>
      </c>
      <c r="G141" s="9">
        <v>106000</v>
      </c>
      <c r="H141" s="9">
        <v>105000</v>
      </c>
      <c r="I141" s="102">
        <f t="shared" si="17"/>
        <v>679000</v>
      </c>
      <c r="J141" s="102"/>
      <c r="K141" s="204">
        <f t="shared" si="18"/>
        <v>0.13843888070692195</v>
      </c>
      <c r="L141" s="204">
        <f t="shared" si="19"/>
        <v>0.13254786450662739</v>
      </c>
      <c r="M141" s="204">
        <f t="shared" si="20"/>
        <v>0.13696612665684832</v>
      </c>
      <c r="N141" s="204">
        <f t="shared" si="21"/>
        <v>0.14138438880706922</v>
      </c>
      <c r="O141" s="204">
        <f t="shared" si="22"/>
        <v>0.13991163475699558</v>
      </c>
      <c r="P141" s="204">
        <f t="shared" si="23"/>
        <v>0.1561119293078056</v>
      </c>
      <c r="Q141" s="204">
        <f t="shared" si="24"/>
        <v>0.15463917525773196</v>
      </c>
    </row>
    <row r="142" spans="1:17">
      <c r="A142" s="140" t="s">
        <v>196</v>
      </c>
      <c r="B142" s="105">
        <v>17000</v>
      </c>
      <c r="C142" s="9">
        <v>20000</v>
      </c>
      <c r="D142" s="9">
        <v>24000</v>
      </c>
      <c r="E142" s="9">
        <v>21000</v>
      </c>
      <c r="F142" s="9">
        <v>26000</v>
      </c>
      <c r="G142" s="9">
        <v>39000</v>
      </c>
      <c r="H142" s="9">
        <v>36000</v>
      </c>
      <c r="I142" s="102">
        <f t="shared" si="17"/>
        <v>183000</v>
      </c>
      <c r="J142" s="102"/>
      <c r="K142" s="204">
        <f t="shared" si="18"/>
        <v>9.2896174863387984E-2</v>
      </c>
      <c r="L142" s="204">
        <f t="shared" si="19"/>
        <v>0.10928961748633879</v>
      </c>
      <c r="M142" s="204">
        <f t="shared" si="20"/>
        <v>0.13114754098360656</v>
      </c>
      <c r="N142" s="204">
        <f t="shared" si="21"/>
        <v>0.11475409836065574</v>
      </c>
      <c r="O142" s="204">
        <f t="shared" si="22"/>
        <v>0.14207650273224043</v>
      </c>
      <c r="P142" s="204">
        <f t="shared" si="23"/>
        <v>0.21311475409836064</v>
      </c>
      <c r="Q142" s="204">
        <f t="shared" si="24"/>
        <v>0.19672131147540983</v>
      </c>
    </row>
    <row r="143" spans="1:17">
      <c r="A143" s="140" t="s">
        <v>197</v>
      </c>
      <c r="B143" s="105">
        <v>6000</v>
      </c>
      <c r="C143" s="9">
        <v>3000</v>
      </c>
      <c r="D143" s="9">
        <v>9000</v>
      </c>
      <c r="E143" s="9">
        <v>8000</v>
      </c>
      <c r="F143" s="9">
        <v>11000</v>
      </c>
      <c r="G143" s="9">
        <v>12000</v>
      </c>
      <c r="H143" s="9">
        <v>14000</v>
      </c>
      <c r="I143" s="102">
        <f t="shared" si="17"/>
        <v>63000</v>
      </c>
      <c r="J143" s="102"/>
      <c r="K143" s="204">
        <f t="shared" si="18"/>
        <v>9.5238095238095233E-2</v>
      </c>
      <c r="L143" s="204">
        <f t="shared" si="19"/>
        <v>4.7619047619047616E-2</v>
      </c>
      <c r="M143" s="204">
        <f t="shared" si="20"/>
        <v>0.14285714285714285</v>
      </c>
      <c r="N143" s="204">
        <f t="shared" si="21"/>
        <v>0.12698412698412698</v>
      </c>
      <c r="O143" s="204">
        <f t="shared" si="22"/>
        <v>0.17460317460317459</v>
      </c>
      <c r="P143" s="204">
        <f t="shared" si="23"/>
        <v>0.19047619047619047</v>
      </c>
      <c r="Q143" s="204">
        <f t="shared" si="24"/>
        <v>0.22222222222222221</v>
      </c>
    </row>
    <row r="144" spans="1:17">
      <c r="A144" s="139" t="s">
        <v>198</v>
      </c>
      <c r="B144" s="105">
        <v>101000</v>
      </c>
      <c r="C144" s="9">
        <v>100000</v>
      </c>
      <c r="D144" s="9">
        <v>118000</v>
      </c>
      <c r="E144" s="9">
        <v>119000</v>
      </c>
      <c r="F144" s="9">
        <v>142000</v>
      </c>
      <c r="G144" s="9">
        <v>171000</v>
      </c>
      <c r="H144" s="9">
        <v>171000</v>
      </c>
      <c r="I144" s="102">
        <f t="shared" si="17"/>
        <v>922000</v>
      </c>
      <c r="J144" s="102"/>
      <c r="K144" s="204">
        <f t="shared" si="18"/>
        <v>0.10954446854663774</v>
      </c>
      <c r="L144" s="204">
        <f t="shared" si="19"/>
        <v>0.10845986984815618</v>
      </c>
      <c r="M144" s="204">
        <f t="shared" si="20"/>
        <v>0.1279826464208243</v>
      </c>
      <c r="N144" s="204">
        <f t="shared" si="21"/>
        <v>0.12906724511930587</v>
      </c>
      <c r="O144" s="204">
        <f t="shared" si="22"/>
        <v>0.15401301518438179</v>
      </c>
      <c r="P144" s="204">
        <f t="shared" si="23"/>
        <v>0.18546637744034708</v>
      </c>
      <c r="Q144" s="204">
        <f t="shared" si="24"/>
        <v>0.18546637744034708</v>
      </c>
    </row>
    <row r="145" spans="1:17">
      <c r="A145" s="141" t="s">
        <v>199</v>
      </c>
      <c r="B145" s="105">
        <v>5000</v>
      </c>
      <c r="C145" s="9">
        <v>5000</v>
      </c>
      <c r="D145" s="9">
        <v>4000</v>
      </c>
      <c r="E145" s="9">
        <v>5000</v>
      </c>
      <c r="F145" s="9">
        <v>4000</v>
      </c>
      <c r="G145" s="9">
        <v>8000</v>
      </c>
      <c r="H145" s="9">
        <v>7000</v>
      </c>
      <c r="I145" s="102">
        <f t="shared" si="17"/>
        <v>38000</v>
      </c>
      <c r="J145" s="102"/>
      <c r="K145" s="204">
        <f t="shared" si="18"/>
        <v>0.13157894736842105</v>
      </c>
      <c r="L145" s="204">
        <f t="shared" si="19"/>
        <v>0.13157894736842105</v>
      </c>
      <c r="M145" s="204">
        <f t="shared" si="20"/>
        <v>0.10526315789473684</v>
      </c>
      <c r="N145" s="204">
        <f t="shared" si="21"/>
        <v>0.13157894736842105</v>
      </c>
      <c r="O145" s="204">
        <f t="shared" si="22"/>
        <v>0.10526315789473684</v>
      </c>
      <c r="P145" s="204">
        <f t="shared" si="23"/>
        <v>0.21052631578947367</v>
      </c>
      <c r="Q145" s="204">
        <f t="shared" si="24"/>
        <v>0.18421052631578946</v>
      </c>
    </row>
    <row r="146" spans="1:17">
      <c r="A146" s="140" t="s">
        <v>200</v>
      </c>
      <c r="B146" s="105">
        <v>12000</v>
      </c>
      <c r="C146" s="9">
        <v>13000</v>
      </c>
      <c r="D146" s="9">
        <v>12000</v>
      </c>
      <c r="E146" s="9">
        <v>13000</v>
      </c>
      <c r="F146" s="9">
        <v>13000</v>
      </c>
      <c r="G146" s="9">
        <v>23000</v>
      </c>
      <c r="H146" s="9">
        <v>17000</v>
      </c>
      <c r="I146" s="102">
        <f t="shared" si="17"/>
        <v>103000</v>
      </c>
      <c r="J146" s="102"/>
      <c r="K146" s="204">
        <f t="shared" si="18"/>
        <v>0.11650485436893204</v>
      </c>
      <c r="L146" s="204">
        <f t="shared" si="19"/>
        <v>0.12621359223300971</v>
      </c>
      <c r="M146" s="204">
        <f t="shared" si="20"/>
        <v>0.11650485436893204</v>
      </c>
      <c r="N146" s="204">
        <f t="shared" si="21"/>
        <v>0.12621359223300971</v>
      </c>
      <c r="O146" s="204">
        <f t="shared" si="22"/>
        <v>0.12621359223300971</v>
      </c>
      <c r="P146" s="204">
        <f t="shared" si="23"/>
        <v>0.22330097087378642</v>
      </c>
      <c r="Q146" s="204">
        <f t="shared" si="24"/>
        <v>0.1650485436893204</v>
      </c>
    </row>
    <row r="147" spans="1:17">
      <c r="A147" s="140" t="s">
        <v>201</v>
      </c>
      <c r="B147" s="105">
        <v>10000</v>
      </c>
      <c r="C147" s="9">
        <v>8000</v>
      </c>
      <c r="D147" s="9">
        <v>11000</v>
      </c>
      <c r="E147" s="9">
        <v>9000</v>
      </c>
      <c r="F147" s="9">
        <v>13000</v>
      </c>
      <c r="G147" s="9">
        <v>16000</v>
      </c>
      <c r="H147" s="9">
        <v>17000</v>
      </c>
      <c r="I147" s="102">
        <f t="shared" si="17"/>
        <v>84000</v>
      </c>
      <c r="J147" s="102"/>
      <c r="K147" s="204">
        <f t="shared" si="18"/>
        <v>0.11904761904761904</v>
      </c>
      <c r="L147" s="204">
        <f t="shared" si="19"/>
        <v>9.5238095238095233E-2</v>
      </c>
      <c r="M147" s="204">
        <f t="shared" si="20"/>
        <v>0.13095238095238096</v>
      </c>
      <c r="N147" s="204">
        <f t="shared" si="21"/>
        <v>0.10714285714285714</v>
      </c>
      <c r="O147" s="204">
        <f t="shared" si="22"/>
        <v>0.15476190476190477</v>
      </c>
      <c r="P147" s="204">
        <f t="shared" si="23"/>
        <v>0.19047619047619047</v>
      </c>
      <c r="Q147" s="204">
        <f t="shared" si="24"/>
        <v>0.20238095238095238</v>
      </c>
    </row>
    <row r="148" spans="1:17">
      <c r="A148" s="140" t="s">
        <v>202</v>
      </c>
      <c r="B148" s="105">
        <v>33000</v>
      </c>
      <c r="C148" s="9">
        <v>33000</v>
      </c>
      <c r="D148" s="9">
        <v>40000</v>
      </c>
      <c r="E148" s="9">
        <v>36000</v>
      </c>
      <c r="F148" s="9">
        <v>46000</v>
      </c>
      <c r="G148" s="9">
        <v>53000</v>
      </c>
      <c r="H148" s="9">
        <v>54000</v>
      </c>
      <c r="I148" s="102">
        <f t="shared" si="17"/>
        <v>295000</v>
      </c>
      <c r="J148" s="102"/>
      <c r="K148" s="204">
        <f t="shared" si="18"/>
        <v>0.11186440677966102</v>
      </c>
      <c r="L148" s="204">
        <f t="shared" si="19"/>
        <v>0.11186440677966102</v>
      </c>
      <c r="M148" s="204">
        <f t="shared" si="20"/>
        <v>0.13559322033898305</v>
      </c>
      <c r="N148" s="204">
        <f t="shared" si="21"/>
        <v>0.12203389830508475</v>
      </c>
      <c r="O148" s="204">
        <f t="shared" si="22"/>
        <v>0.15593220338983052</v>
      </c>
      <c r="P148" s="204">
        <f t="shared" si="23"/>
        <v>0.17966101694915254</v>
      </c>
      <c r="Q148" s="204">
        <f t="shared" si="24"/>
        <v>0.18305084745762712</v>
      </c>
    </row>
    <row r="149" spans="1:17">
      <c r="A149" s="140" t="s">
        <v>203</v>
      </c>
      <c r="B149" s="105">
        <v>2000</v>
      </c>
      <c r="C149" s="9">
        <v>3000</v>
      </c>
      <c r="D149" s="9">
        <v>2000</v>
      </c>
      <c r="E149" s="9">
        <v>6000</v>
      </c>
      <c r="F149" s="9">
        <v>4000</v>
      </c>
      <c r="G149" s="9">
        <v>6000</v>
      </c>
      <c r="H149" s="9">
        <v>5000</v>
      </c>
      <c r="I149" s="102">
        <f t="shared" si="17"/>
        <v>28000</v>
      </c>
      <c r="J149" s="102"/>
      <c r="K149" s="204">
        <f t="shared" si="18"/>
        <v>7.1428571428571425E-2</v>
      </c>
      <c r="L149" s="204">
        <f t="shared" si="19"/>
        <v>0.10714285714285714</v>
      </c>
      <c r="M149" s="204">
        <f t="shared" si="20"/>
        <v>7.1428571428571425E-2</v>
      </c>
      <c r="N149" s="204">
        <f t="shared" si="21"/>
        <v>0.21428571428571427</v>
      </c>
      <c r="O149" s="204">
        <f t="shared" si="22"/>
        <v>0.14285714285714285</v>
      </c>
      <c r="P149" s="204">
        <f t="shared" si="23"/>
        <v>0.21428571428571427</v>
      </c>
      <c r="Q149" s="204">
        <f t="shared" si="24"/>
        <v>0.17857142857142858</v>
      </c>
    </row>
    <row r="150" spans="1:17">
      <c r="A150" s="140" t="s">
        <v>204</v>
      </c>
      <c r="B150" s="105">
        <v>14000</v>
      </c>
      <c r="C150" s="9">
        <v>13000</v>
      </c>
      <c r="D150" s="9">
        <v>20000</v>
      </c>
      <c r="E150" s="9">
        <v>20000</v>
      </c>
      <c r="F150" s="9">
        <v>24000</v>
      </c>
      <c r="G150" s="9">
        <v>23000</v>
      </c>
      <c r="H150" s="9">
        <v>21000</v>
      </c>
      <c r="I150" s="102">
        <f t="shared" si="17"/>
        <v>135000</v>
      </c>
      <c r="J150" s="102"/>
      <c r="K150" s="204">
        <f t="shared" si="18"/>
        <v>0.1037037037037037</v>
      </c>
      <c r="L150" s="204">
        <f t="shared" si="19"/>
        <v>9.6296296296296297E-2</v>
      </c>
      <c r="M150" s="204">
        <f t="shared" si="20"/>
        <v>0.14814814814814814</v>
      </c>
      <c r="N150" s="204">
        <f t="shared" si="21"/>
        <v>0.14814814814814814</v>
      </c>
      <c r="O150" s="204">
        <f t="shared" si="22"/>
        <v>0.17777777777777778</v>
      </c>
      <c r="P150" s="204">
        <f t="shared" si="23"/>
        <v>0.17037037037037037</v>
      </c>
      <c r="Q150" s="204">
        <f t="shared" si="24"/>
        <v>0.15555555555555556</v>
      </c>
    </row>
    <row r="151" spans="1:17">
      <c r="A151" s="140" t="s">
        <v>205</v>
      </c>
      <c r="B151" s="105">
        <v>25000</v>
      </c>
      <c r="C151" s="9">
        <v>26000</v>
      </c>
      <c r="D151" s="9">
        <v>29000</v>
      </c>
      <c r="E151" s="9">
        <v>29000</v>
      </c>
      <c r="F151" s="9">
        <v>39000</v>
      </c>
      <c r="G151" s="9">
        <v>43000</v>
      </c>
      <c r="H151" s="9">
        <v>51000</v>
      </c>
      <c r="I151" s="102">
        <f t="shared" si="17"/>
        <v>242000</v>
      </c>
      <c r="J151" s="102"/>
      <c r="K151" s="204">
        <f t="shared" si="18"/>
        <v>0.10330578512396695</v>
      </c>
      <c r="L151" s="204">
        <f t="shared" si="19"/>
        <v>0.10743801652892562</v>
      </c>
      <c r="M151" s="204">
        <f t="shared" si="20"/>
        <v>0.11983471074380166</v>
      </c>
      <c r="N151" s="204">
        <f t="shared" si="21"/>
        <v>0.11983471074380166</v>
      </c>
      <c r="O151" s="204">
        <f t="shared" si="22"/>
        <v>0.16115702479338842</v>
      </c>
      <c r="P151" s="204">
        <f t="shared" si="23"/>
        <v>0.17768595041322313</v>
      </c>
      <c r="Q151" s="204">
        <f t="shared" si="24"/>
        <v>0.21074380165289255</v>
      </c>
    </row>
    <row r="152" spans="1:17">
      <c r="A152" s="138" t="s">
        <v>206</v>
      </c>
      <c r="B152" s="105">
        <v>22000</v>
      </c>
      <c r="C152" s="9">
        <v>31000</v>
      </c>
      <c r="D152" s="9">
        <v>32000</v>
      </c>
      <c r="E152" s="9">
        <v>42000</v>
      </c>
      <c r="F152" s="9">
        <v>42000</v>
      </c>
      <c r="G152" s="9">
        <v>44000</v>
      </c>
      <c r="H152" s="9">
        <v>51000</v>
      </c>
      <c r="I152" s="102">
        <f t="shared" si="17"/>
        <v>264000</v>
      </c>
      <c r="J152" s="102"/>
      <c r="K152" s="204">
        <f t="shared" si="18"/>
        <v>8.3333333333333329E-2</v>
      </c>
      <c r="L152" s="204">
        <f t="shared" si="19"/>
        <v>0.11742424242424243</v>
      </c>
      <c r="M152" s="204">
        <f t="shared" si="20"/>
        <v>0.12121212121212122</v>
      </c>
      <c r="N152" s="204">
        <f t="shared" si="21"/>
        <v>0.15909090909090909</v>
      </c>
      <c r="O152" s="204">
        <f t="shared" si="22"/>
        <v>0.15909090909090909</v>
      </c>
      <c r="P152" s="204">
        <f t="shared" si="23"/>
        <v>0.16666666666666666</v>
      </c>
      <c r="Q152" s="204">
        <f t="shared" si="24"/>
        <v>0.19318181818181818</v>
      </c>
    </row>
    <row r="153" spans="1:17">
      <c r="A153" s="139" t="s">
        <v>207</v>
      </c>
      <c r="B153" s="105">
        <v>17000</v>
      </c>
      <c r="C153" s="9">
        <v>23000</v>
      </c>
      <c r="D153" s="9">
        <v>24000</v>
      </c>
      <c r="E153" s="9">
        <v>31000</v>
      </c>
      <c r="F153" s="9">
        <v>31000</v>
      </c>
      <c r="G153" s="9">
        <v>33000</v>
      </c>
      <c r="H153" s="9">
        <v>40000</v>
      </c>
      <c r="I153" s="102">
        <f t="shared" si="17"/>
        <v>199000</v>
      </c>
      <c r="J153" s="102"/>
      <c r="K153" s="204">
        <f t="shared" si="18"/>
        <v>8.5427135678391955E-2</v>
      </c>
      <c r="L153" s="204">
        <f t="shared" si="19"/>
        <v>0.11557788944723618</v>
      </c>
      <c r="M153" s="204">
        <f t="shared" si="20"/>
        <v>0.12060301507537688</v>
      </c>
      <c r="N153" s="204">
        <f t="shared" si="21"/>
        <v>0.15577889447236182</v>
      </c>
      <c r="O153" s="204">
        <f t="shared" si="22"/>
        <v>0.15577889447236182</v>
      </c>
      <c r="P153" s="204">
        <f t="shared" si="23"/>
        <v>0.16582914572864321</v>
      </c>
      <c r="Q153" s="204">
        <f t="shared" si="24"/>
        <v>0.20100502512562815</v>
      </c>
    </row>
    <row r="154" spans="1:17">
      <c r="A154" s="139" t="s">
        <v>208</v>
      </c>
      <c r="B154" s="105">
        <v>3000</v>
      </c>
      <c r="C154" s="9">
        <v>3000</v>
      </c>
      <c r="D154" s="9">
        <v>4000</v>
      </c>
      <c r="E154" s="9">
        <v>3000</v>
      </c>
      <c r="F154" s="9">
        <v>5000</v>
      </c>
      <c r="G154" s="9">
        <v>5000</v>
      </c>
      <c r="H154" s="9">
        <v>5000</v>
      </c>
      <c r="I154" s="102">
        <f t="shared" si="17"/>
        <v>28000</v>
      </c>
      <c r="J154" s="102"/>
      <c r="K154" s="204">
        <f t="shared" si="18"/>
        <v>0.10714285714285714</v>
      </c>
      <c r="L154" s="204">
        <f t="shared" si="19"/>
        <v>0.10714285714285714</v>
      </c>
      <c r="M154" s="204">
        <f t="shared" si="20"/>
        <v>0.14285714285714285</v>
      </c>
      <c r="N154" s="204">
        <f t="shared" si="21"/>
        <v>0.10714285714285714</v>
      </c>
      <c r="O154" s="204">
        <f t="shared" si="22"/>
        <v>0.17857142857142858</v>
      </c>
      <c r="P154" s="204">
        <f t="shared" si="23"/>
        <v>0.17857142857142858</v>
      </c>
      <c r="Q154" s="204">
        <f t="shared" si="24"/>
        <v>0.17857142857142858</v>
      </c>
    </row>
    <row r="155" spans="1:17">
      <c r="A155" s="139" t="s">
        <v>209</v>
      </c>
      <c r="B155" s="105">
        <v>2000</v>
      </c>
      <c r="C155" s="9">
        <v>4000</v>
      </c>
      <c r="D155" s="9">
        <v>3000</v>
      </c>
      <c r="E155" s="9">
        <v>7000</v>
      </c>
      <c r="F155" s="9">
        <v>5000</v>
      </c>
      <c r="G155" s="9">
        <v>5000</v>
      </c>
      <c r="H155" s="9">
        <v>5000</v>
      </c>
      <c r="I155" s="102">
        <f t="shared" si="17"/>
        <v>31000</v>
      </c>
      <c r="J155" s="102"/>
      <c r="K155" s="204">
        <f t="shared" si="18"/>
        <v>6.4516129032258063E-2</v>
      </c>
      <c r="L155" s="204">
        <f t="shared" si="19"/>
        <v>0.12903225806451613</v>
      </c>
      <c r="M155" s="204">
        <f t="shared" si="20"/>
        <v>9.6774193548387094E-2</v>
      </c>
      <c r="N155" s="204">
        <f t="shared" si="21"/>
        <v>0.22580645161290322</v>
      </c>
      <c r="O155" s="204">
        <f t="shared" si="22"/>
        <v>0.16129032258064516</v>
      </c>
      <c r="P155" s="204">
        <f t="shared" si="23"/>
        <v>0.16129032258064516</v>
      </c>
      <c r="Q155" s="204">
        <f t="shared" si="24"/>
        <v>0.16129032258064516</v>
      </c>
    </row>
    <row r="156" spans="1:17">
      <c r="A156" s="139" t="s">
        <v>210</v>
      </c>
      <c r="B156" s="105">
        <v>1000</v>
      </c>
      <c r="C156" s="9">
        <v>1000</v>
      </c>
      <c r="D156" s="9">
        <v>2000</v>
      </c>
      <c r="E156" s="13" t="s">
        <v>191</v>
      </c>
      <c r="F156" s="9">
        <v>2000</v>
      </c>
      <c r="G156" s="9">
        <v>1000</v>
      </c>
      <c r="H156" s="9">
        <v>2000</v>
      </c>
      <c r="I156" s="102">
        <f t="shared" si="17"/>
        <v>9000</v>
      </c>
      <c r="J156" s="102"/>
      <c r="K156" s="204">
        <f t="shared" si="18"/>
        <v>0.1111111111111111</v>
      </c>
      <c r="L156" s="204">
        <f t="shared" si="19"/>
        <v>0.1111111111111111</v>
      </c>
      <c r="M156" s="204">
        <f t="shared" si="20"/>
        <v>0.22222222222222221</v>
      </c>
      <c r="N156" s="204" t="e">
        <f t="shared" si="21"/>
        <v>#VALUE!</v>
      </c>
      <c r="O156" s="204">
        <f t="shared" si="22"/>
        <v>0.22222222222222221</v>
      </c>
      <c r="P156" s="204">
        <f t="shared" si="23"/>
        <v>0.1111111111111111</v>
      </c>
      <c r="Q156" s="204">
        <f t="shared" si="24"/>
        <v>0.22222222222222221</v>
      </c>
    </row>
    <row r="157" spans="1:17">
      <c r="A157" s="138" t="s">
        <v>211</v>
      </c>
      <c r="B157" s="107">
        <v>27000</v>
      </c>
      <c r="C157" s="7">
        <v>36000</v>
      </c>
      <c r="D157" s="7">
        <v>42000</v>
      </c>
      <c r="E157" s="7">
        <v>45000</v>
      </c>
      <c r="F157" s="7">
        <v>41000</v>
      </c>
      <c r="G157" s="7">
        <v>53000</v>
      </c>
      <c r="H157" s="7">
        <v>50000</v>
      </c>
      <c r="I157" s="102">
        <f t="shared" si="17"/>
        <v>294000</v>
      </c>
      <c r="J157" s="102"/>
      <c r="K157" s="204">
        <f t="shared" si="18"/>
        <v>9.1836734693877556E-2</v>
      </c>
      <c r="L157" s="204">
        <f t="shared" si="19"/>
        <v>0.12244897959183673</v>
      </c>
      <c r="M157" s="204">
        <f t="shared" si="20"/>
        <v>0.14285714285714285</v>
      </c>
      <c r="N157" s="204">
        <f t="shared" si="21"/>
        <v>0.15306122448979592</v>
      </c>
      <c r="O157" s="204">
        <f t="shared" si="22"/>
        <v>0.13945578231292516</v>
      </c>
      <c r="P157" s="204">
        <f t="shared" si="23"/>
        <v>0.18027210884353742</v>
      </c>
      <c r="Q157" s="204">
        <f t="shared" si="24"/>
        <v>0.17006802721088435</v>
      </c>
    </row>
    <row r="158" spans="1:17">
      <c r="A158" s="139" t="s">
        <v>212</v>
      </c>
      <c r="B158" s="105">
        <v>3000</v>
      </c>
      <c r="C158" s="9">
        <v>3000</v>
      </c>
      <c r="D158" s="9">
        <v>3000</v>
      </c>
      <c r="E158" s="13" t="s">
        <v>191</v>
      </c>
      <c r="F158" s="9">
        <v>4000</v>
      </c>
      <c r="G158" s="9">
        <v>9000</v>
      </c>
      <c r="H158" s="9">
        <v>6000</v>
      </c>
      <c r="I158" s="102">
        <f t="shared" si="17"/>
        <v>28000</v>
      </c>
      <c r="J158" s="102"/>
      <c r="K158" s="204">
        <f t="shared" si="18"/>
        <v>0.10714285714285714</v>
      </c>
      <c r="L158" s="204">
        <f t="shared" si="19"/>
        <v>0.10714285714285714</v>
      </c>
      <c r="M158" s="204">
        <f t="shared" si="20"/>
        <v>0.10714285714285714</v>
      </c>
      <c r="N158" s="204" t="e">
        <f t="shared" si="21"/>
        <v>#VALUE!</v>
      </c>
      <c r="O158" s="204">
        <f t="shared" si="22"/>
        <v>0.14285714285714285</v>
      </c>
      <c r="P158" s="204">
        <f t="shared" si="23"/>
        <v>0.32142857142857145</v>
      </c>
      <c r="Q158" s="204">
        <f t="shared" si="24"/>
        <v>0.21428571428571427</v>
      </c>
    </row>
    <row r="159" spans="1:17">
      <c r="A159" s="139" t="s">
        <v>213</v>
      </c>
      <c r="B159" s="105">
        <v>12000</v>
      </c>
      <c r="C159" s="9">
        <v>8000</v>
      </c>
      <c r="D159" s="9">
        <v>7000</v>
      </c>
      <c r="E159" s="9">
        <v>6000</v>
      </c>
      <c r="F159" s="9">
        <v>5000</v>
      </c>
      <c r="G159" s="9">
        <v>8000</v>
      </c>
      <c r="H159" s="9">
        <v>9000</v>
      </c>
      <c r="I159" s="102">
        <f t="shared" si="17"/>
        <v>55000</v>
      </c>
      <c r="J159" s="102"/>
      <c r="K159" s="204">
        <f t="shared" si="18"/>
        <v>0.21818181818181817</v>
      </c>
      <c r="L159" s="204">
        <f t="shared" si="19"/>
        <v>0.14545454545454545</v>
      </c>
      <c r="M159" s="204">
        <f t="shared" si="20"/>
        <v>0.12727272727272726</v>
      </c>
      <c r="N159" s="204">
        <f t="shared" si="21"/>
        <v>0.10909090909090909</v>
      </c>
      <c r="O159" s="204">
        <f t="shared" si="22"/>
        <v>9.0909090909090912E-2</v>
      </c>
      <c r="P159" s="204">
        <f t="shared" si="23"/>
        <v>0.14545454545454545</v>
      </c>
      <c r="Q159" s="204">
        <f t="shared" si="24"/>
        <v>0.16363636363636364</v>
      </c>
    </row>
    <row r="160" spans="1:17">
      <c r="A160" s="139" t="s">
        <v>214</v>
      </c>
      <c r="B160" s="105">
        <v>3000</v>
      </c>
      <c r="C160" s="9">
        <v>8000</v>
      </c>
      <c r="D160" s="9">
        <v>14000</v>
      </c>
      <c r="E160" s="9">
        <v>13000</v>
      </c>
      <c r="F160" s="9">
        <v>9000</v>
      </c>
      <c r="G160" s="9">
        <v>15000</v>
      </c>
      <c r="H160" s="9">
        <v>13000</v>
      </c>
      <c r="I160" s="102">
        <f t="shared" si="17"/>
        <v>75000</v>
      </c>
      <c r="J160" s="102"/>
      <c r="K160" s="204">
        <f t="shared" si="18"/>
        <v>0.04</v>
      </c>
      <c r="L160" s="204">
        <f t="shared" si="19"/>
        <v>0.10666666666666667</v>
      </c>
      <c r="M160" s="204">
        <f t="shared" si="20"/>
        <v>0.18666666666666668</v>
      </c>
      <c r="N160" s="204">
        <f t="shared" si="21"/>
        <v>0.17333333333333334</v>
      </c>
      <c r="O160" s="204">
        <f t="shared" si="22"/>
        <v>0.12</v>
      </c>
      <c r="P160" s="204">
        <f t="shared" si="23"/>
        <v>0.2</v>
      </c>
      <c r="Q160" s="204">
        <f t="shared" si="24"/>
        <v>0.17333333333333334</v>
      </c>
    </row>
    <row r="161" spans="1:17">
      <c r="A161" s="139" t="s">
        <v>215</v>
      </c>
      <c r="B161" s="162" t="s">
        <v>220</v>
      </c>
      <c r="C161" s="13" t="s">
        <v>220</v>
      </c>
      <c r="D161" s="13" t="s">
        <v>220</v>
      </c>
      <c r="E161" s="13" t="s">
        <v>220</v>
      </c>
      <c r="F161" s="13" t="s">
        <v>220</v>
      </c>
      <c r="G161" s="13" t="s">
        <v>220</v>
      </c>
      <c r="H161" s="13" t="s">
        <v>220</v>
      </c>
      <c r="I161" s="102">
        <f t="shared" si="17"/>
        <v>0</v>
      </c>
      <c r="J161" s="102"/>
      <c r="K161" s="204" t="e">
        <f t="shared" si="18"/>
        <v>#VALUE!</v>
      </c>
      <c r="L161" s="204" t="e">
        <f t="shared" si="19"/>
        <v>#VALUE!</v>
      </c>
      <c r="M161" s="204" t="e">
        <f t="shared" si="20"/>
        <v>#VALUE!</v>
      </c>
      <c r="N161" s="204" t="e">
        <f t="shared" si="21"/>
        <v>#VALUE!</v>
      </c>
      <c r="O161" s="204" t="e">
        <f t="shared" si="22"/>
        <v>#VALUE!</v>
      </c>
      <c r="P161" s="204" t="e">
        <f t="shared" si="23"/>
        <v>#VALUE!</v>
      </c>
      <c r="Q161" s="204" t="e">
        <f t="shared" si="24"/>
        <v>#VALUE!</v>
      </c>
    </row>
    <row r="162" spans="1:17">
      <c r="A162" s="139" t="s">
        <v>216</v>
      </c>
      <c r="B162" s="105">
        <v>3000</v>
      </c>
      <c r="C162" s="13" t="s">
        <v>191</v>
      </c>
      <c r="D162" s="9">
        <v>4000</v>
      </c>
      <c r="E162" s="9">
        <v>5000</v>
      </c>
      <c r="F162" s="9">
        <v>4000</v>
      </c>
      <c r="G162" s="9">
        <v>5000</v>
      </c>
      <c r="H162" s="9">
        <v>5000</v>
      </c>
      <c r="I162" s="102">
        <f t="shared" si="17"/>
        <v>26000</v>
      </c>
      <c r="J162" s="102"/>
      <c r="K162" s="204">
        <f t="shared" si="18"/>
        <v>0.11538461538461539</v>
      </c>
      <c r="L162" s="204" t="e">
        <f t="shared" si="19"/>
        <v>#VALUE!</v>
      </c>
      <c r="M162" s="204">
        <f t="shared" si="20"/>
        <v>0.15384615384615385</v>
      </c>
      <c r="N162" s="204">
        <f t="shared" si="21"/>
        <v>0.19230769230769232</v>
      </c>
      <c r="O162" s="204">
        <f t="shared" si="22"/>
        <v>0.15384615384615385</v>
      </c>
      <c r="P162" s="204">
        <f t="shared" si="23"/>
        <v>0.19230769230769232</v>
      </c>
      <c r="Q162" s="204">
        <f t="shared" si="24"/>
        <v>0.19230769230769232</v>
      </c>
    </row>
    <row r="163" spans="1:17">
      <c r="A163" s="139" t="s">
        <v>217</v>
      </c>
      <c r="B163" s="105">
        <v>6000</v>
      </c>
      <c r="C163" s="9">
        <v>10000</v>
      </c>
      <c r="D163" s="9">
        <v>14000</v>
      </c>
      <c r="E163" s="9">
        <v>15000</v>
      </c>
      <c r="F163" s="9">
        <v>19000</v>
      </c>
      <c r="G163" s="9">
        <v>16000</v>
      </c>
      <c r="H163" s="9">
        <v>18000</v>
      </c>
      <c r="I163" s="102">
        <f t="shared" si="17"/>
        <v>98000</v>
      </c>
      <c r="J163" s="102"/>
      <c r="K163" s="204">
        <f t="shared" si="18"/>
        <v>6.1224489795918366E-2</v>
      </c>
      <c r="L163" s="204">
        <f t="shared" si="19"/>
        <v>0.10204081632653061</v>
      </c>
      <c r="M163" s="204">
        <f t="shared" si="20"/>
        <v>0.14285714285714285</v>
      </c>
      <c r="N163" s="204">
        <f t="shared" si="21"/>
        <v>0.15306122448979592</v>
      </c>
      <c r="O163" s="204">
        <f t="shared" si="22"/>
        <v>0.19387755102040816</v>
      </c>
      <c r="P163" s="204">
        <f t="shared" si="23"/>
        <v>0.16326530612244897</v>
      </c>
      <c r="Q163" s="204">
        <f t="shared" si="24"/>
        <v>0.18367346938775511</v>
      </c>
    </row>
    <row r="164" spans="1:17">
      <c r="A164" s="111" t="s">
        <v>223</v>
      </c>
      <c r="B164" s="109">
        <v>49000</v>
      </c>
      <c r="C164" s="104">
        <v>58000</v>
      </c>
      <c r="D164" s="104">
        <v>64000</v>
      </c>
      <c r="E164" s="104">
        <v>63000</v>
      </c>
      <c r="F164" s="104">
        <v>67000</v>
      </c>
      <c r="G164" s="104">
        <v>67000</v>
      </c>
      <c r="H164" s="104">
        <v>82000</v>
      </c>
    </row>
    <row r="165" spans="1:17">
      <c r="A165" s="112" t="s">
        <v>178</v>
      </c>
      <c r="B165" s="105">
        <v>13000</v>
      </c>
      <c r="C165" s="9">
        <v>16000</v>
      </c>
      <c r="D165" s="9">
        <v>27000</v>
      </c>
      <c r="E165" s="9">
        <v>22000</v>
      </c>
      <c r="F165" s="9">
        <v>24000</v>
      </c>
      <c r="G165" s="9">
        <v>28000</v>
      </c>
      <c r="H165" s="9">
        <v>28000</v>
      </c>
    </row>
    <row r="166" spans="1:17">
      <c r="A166" s="112" t="s">
        <v>206</v>
      </c>
      <c r="B166" s="105">
        <v>20000</v>
      </c>
      <c r="C166" s="9">
        <v>20000</v>
      </c>
      <c r="D166" s="9">
        <v>22000</v>
      </c>
      <c r="E166" s="9">
        <v>16000</v>
      </c>
      <c r="F166" s="9">
        <v>20000</v>
      </c>
      <c r="G166" s="9">
        <v>18000</v>
      </c>
      <c r="H166" s="9">
        <v>29000</v>
      </c>
    </row>
    <row r="167" spans="1:17">
      <c r="A167" s="112" t="s">
        <v>211</v>
      </c>
      <c r="B167" s="110">
        <v>15000</v>
      </c>
      <c r="C167" s="21">
        <v>22000</v>
      </c>
      <c r="D167" s="21">
        <v>15000</v>
      </c>
      <c r="E167" s="21">
        <v>24000</v>
      </c>
      <c r="F167" s="21">
        <v>24000</v>
      </c>
      <c r="G167" s="21">
        <v>21000</v>
      </c>
      <c r="H167" s="21">
        <v>25000</v>
      </c>
    </row>
    <row r="168" spans="1:17">
      <c r="A168" s="421" t="s">
        <v>224</v>
      </c>
      <c r="B168" s="421"/>
      <c r="C168" s="421"/>
      <c r="D168" s="421"/>
      <c r="E168" s="421"/>
      <c r="F168" s="421"/>
      <c r="G168" s="421"/>
      <c r="H168" s="421"/>
      <c r="I168" s="421"/>
      <c r="J168" s="245"/>
      <c r="K168" s="245"/>
      <c r="L168" s="245"/>
      <c r="M168" s="245"/>
      <c r="N168" s="245"/>
      <c r="O168" s="245"/>
      <c r="P168" s="245"/>
    </row>
    <row r="169" spans="1:17">
      <c r="A169" s="420" t="s">
        <v>638</v>
      </c>
      <c r="B169" s="420"/>
      <c r="C169" s="420"/>
      <c r="D169" s="420"/>
      <c r="E169" s="420"/>
      <c r="F169" s="420"/>
      <c r="G169" s="420"/>
      <c r="H169" s="420"/>
      <c r="I169" s="420"/>
      <c r="J169" s="244"/>
      <c r="K169" s="244"/>
      <c r="L169" s="244"/>
      <c r="M169" s="244"/>
      <c r="N169" s="244"/>
      <c r="O169" s="244"/>
      <c r="P169" s="244"/>
    </row>
  </sheetData>
  <mergeCells count="3">
    <mergeCell ref="A1:I1"/>
    <mergeCell ref="A168:I168"/>
    <mergeCell ref="A169:I169"/>
  </mergeCells>
  <pageMargins left="0.7" right="0.7" top="0.75" bottom="0.75" header="0.3" footer="0.3"/>
  <drawing r:id="rId1"/>
  <legacy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I54"/>
  <sheetViews>
    <sheetView topLeftCell="A26" workbookViewId="0">
      <selection activeCell="A4" sqref="A4:H54"/>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651</v>
      </c>
      <c r="B1" s="420"/>
      <c r="C1" s="420"/>
      <c r="D1" s="420"/>
      <c r="E1" s="420"/>
      <c r="F1" s="420"/>
      <c r="G1" s="420"/>
      <c r="H1" s="420"/>
      <c r="I1" s="420"/>
    </row>
    <row r="2" spans="1:9" ht="1.95" customHeight="1"/>
    <row r="3" spans="1:9" ht="14.7" customHeight="1">
      <c r="A3" s="101" t="s">
        <v>652</v>
      </c>
      <c r="B3" s="87">
        <v>2003</v>
      </c>
      <c r="C3" s="87">
        <v>2010</v>
      </c>
      <c r="D3" s="87">
        <v>2013</v>
      </c>
      <c r="E3" s="87">
        <v>2015</v>
      </c>
      <c r="F3" s="87">
        <v>2017</v>
      </c>
      <c r="G3" s="87">
        <v>2019</v>
      </c>
      <c r="H3" s="87">
        <v>2021</v>
      </c>
    </row>
    <row r="4" spans="1:9" ht="12.45" customHeight="1">
      <c r="A4" s="131" t="s">
        <v>231</v>
      </c>
      <c r="B4" s="107">
        <v>154000</v>
      </c>
      <c r="C4" s="7">
        <v>200000</v>
      </c>
      <c r="D4" s="7">
        <v>235000</v>
      </c>
      <c r="E4" s="7">
        <v>250000</v>
      </c>
      <c r="F4" s="7">
        <v>269000</v>
      </c>
      <c r="G4" s="7">
        <v>310000</v>
      </c>
      <c r="H4" s="7">
        <v>312000</v>
      </c>
    </row>
    <row r="5" spans="1:9" ht="12.45" customHeight="1">
      <c r="A5" s="130" t="s">
        <v>175</v>
      </c>
      <c r="B5" s="105">
        <v>2814000</v>
      </c>
      <c r="C5" s="9">
        <v>3877000</v>
      </c>
      <c r="D5" s="9">
        <v>4223000</v>
      </c>
      <c r="E5" s="9">
        <v>4558000</v>
      </c>
      <c r="F5" s="9">
        <v>4764000</v>
      </c>
      <c r="G5" s="9">
        <v>5109000</v>
      </c>
      <c r="H5" s="9">
        <v>5494000</v>
      </c>
    </row>
    <row r="6" spans="1:9" ht="12.45" customHeight="1">
      <c r="A6" s="130" t="s">
        <v>176</v>
      </c>
      <c r="B6" s="105">
        <v>11094000</v>
      </c>
      <c r="C6" s="9">
        <v>14615000</v>
      </c>
      <c r="D6" s="9">
        <v>16147000</v>
      </c>
      <c r="E6" s="9">
        <v>16842000</v>
      </c>
      <c r="F6" s="9">
        <v>18170000</v>
      </c>
      <c r="G6" s="9">
        <v>19040000</v>
      </c>
      <c r="H6" s="9">
        <v>18699000</v>
      </c>
    </row>
    <row r="7" spans="1:9" ht="12.45" customHeight="1">
      <c r="A7" s="120" t="s">
        <v>218</v>
      </c>
      <c r="B7" s="124">
        <v>9522000</v>
      </c>
      <c r="C7" s="119">
        <v>12592000</v>
      </c>
      <c r="D7" s="119">
        <v>13904000</v>
      </c>
      <c r="E7" s="119">
        <v>14206000</v>
      </c>
      <c r="F7" s="119">
        <v>15524000</v>
      </c>
      <c r="G7" s="119">
        <v>16021000</v>
      </c>
      <c r="H7" s="119">
        <v>15827000</v>
      </c>
    </row>
    <row r="8" spans="1:9" ht="12.45" customHeight="1">
      <c r="A8" s="121" t="s">
        <v>174</v>
      </c>
      <c r="B8" s="105">
        <v>605000</v>
      </c>
      <c r="C8" s="9">
        <v>720000</v>
      </c>
      <c r="D8" s="9">
        <v>832000</v>
      </c>
      <c r="E8" s="9">
        <v>818000</v>
      </c>
      <c r="F8" s="9">
        <v>979000</v>
      </c>
      <c r="G8" s="9">
        <v>1034000</v>
      </c>
      <c r="H8" s="9">
        <v>1099000</v>
      </c>
    </row>
    <row r="9" spans="1:9" ht="12.45" customHeight="1">
      <c r="A9" s="123" t="s">
        <v>227</v>
      </c>
      <c r="B9" s="105">
        <v>62000</v>
      </c>
      <c r="C9" s="9">
        <v>136000</v>
      </c>
      <c r="D9" s="9">
        <v>139000</v>
      </c>
      <c r="E9" s="9">
        <v>127000</v>
      </c>
      <c r="F9" s="9">
        <v>119000</v>
      </c>
      <c r="G9" s="9">
        <v>129000</v>
      </c>
      <c r="H9" s="9">
        <v>140000</v>
      </c>
    </row>
    <row r="10" spans="1:9" ht="12.45" customHeight="1">
      <c r="A10" s="122" t="s">
        <v>228</v>
      </c>
      <c r="B10" s="105">
        <v>363000</v>
      </c>
      <c r="C10" s="9">
        <v>383000</v>
      </c>
      <c r="D10" s="9">
        <v>435000</v>
      </c>
      <c r="E10" s="9">
        <v>456000</v>
      </c>
      <c r="F10" s="9">
        <v>570000</v>
      </c>
      <c r="G10" s="9">
        <v>568000</v>
      </c>
      <c r="H10" s="9">
        <v>612000</v>
      </c>
    </row>
    <row r="11" spans="1:9" ht="12.45" customHeight="1">
      <c r="A11" s="122" t="s">
        <v>229</v>
      </c>
      <c r="B11" s="105">
        <v>40000</v>
      </c>
      <c r="C11" s="9">
        <v>43000</v>
      </c>
      <c r="D11" s="9">
        <v>49000</v>
      </c>
      <c r="E11" s="9">
        <v>39000</v>
      </c>
      <c r="F11" s="9">
        <v>49000</v>
      </c>
      <c r="G11" s="9">
        <v>78000</v>
      </c>
      <c r="H11" s="9">
        <v>62000</v>
      </c>
    </row>
    <row r="12" spans="1:9" ht="12.45" customHeight="1">
      <c r="A12" s="122" t="s">
        <v>230</v>
      </c>
      <c r="B12" s="105">
        <v>50000</v>
      </c>
      <c r="C12" s="9">
        <v>51000</v>
      </c>
      <c r="D12" s="9">
        <v>74000</v>
      </c>
      <c r="E12" s="9">
        <v>53000</v>
      </c>
      <c r="F12" s="9">
        <v>92000</v>
      </c>
      <c r="G12" s="9">
        <v>95000</v>
      </c>
      <c r="H12" s="9">
        <v>106000</v>
      </c>
    </row>
    <row r="13" spans="1:9" ht="12.45" customHeight="1">
      <c r="A13" s="122" t="s">
        <v>231</v>
      </c>
      <c r="B13" s="105">
        <v>89000</v>
      </c>
      <c r="C13" s="9">
        <v>106000</v>
      </c>
      <c r="D13" s="9">
        <v>134000</v>
      </c>
      <c r="E13" s="9">
        <v>143000</v>
      </c>
      <c r="F13" s="9">
        <v>149000</v>
      </c>
      <c r="G13" s="9">
        <v>163000</v>
      </c>
      <c r="H13" s="9">
        <v>179000</v>
      </c>
    </row>
    <row r="14" spans="1:9" ht="12.45" customHeight="1">
      <c r="A14" s="121" t="s">
        <v>175</v>
      </c>
      <c r="B14" s="105">
        <v>1719000</v>
      </c>
      <c r="C14" s="9">
        <v>2335000</v>
      </c>
      <c r="D14" s="9">
        <v>2494000</v>
      </c>
      <c r="E14" s="9">
        <v>2567000</v>
      </c>
      <c r="F14" s="9">
        <v>2654000</v>
      </c>
      <c r="G14" s="9">
        <v>2845000</v>
      </c>
      <c r="H14" s="9">
        <v>3044000</v>
      </c>
    </row>
    <row r="15" spans="1:9" ht="12.45" customHeight="1">
      <c r="A15" s="121" t="s">
        <v>176</v>
      </c>
      <c r="B15" s="105">
        <v>7198000</v>
      </c>
      <c r="C15" s="9">
        <v>9538000</v>
      </c>
      <c r="D15" s="9">
        <v>10579000</v>
      </c>
      <c r="E15" s="9">
        <v>10821000</v>
      </c>
      <c r="F15" s="9">
        <v>11891000</v>
      </c>
      <c r="G15" s="9">
        <v>12142000</v>
      </c>
      <c r="H15" s="9">
        <v>11685000</v>
      </c>
    </row>
    <row r="16" spans="1:9" ht="12.45" customHeight="1">
      <c r="A16" s="115" t="s">
        <v>219</v>
      </c>
      <c r="B16" s="144">
        <v>4431000</v>
      </c>
      <c r="C16" s="143">
        <v>5838000</v>
      </c>
      <c r="D16" s="143">
        <v>6479000</v>
      </c>
      <c r="E16" s="143">
        <v>7196000</v>
      </c>
      <c r="F16" s="143">
        <v>7359000</v>
      </c>
      <c r="G16" s="143">
        <v>8141000</v>
      </c>
      <c r="H16" s="143">
        <v>8314000</v>
      </c>
    </row>
    <row r="17" spans="1:8" ht="12.45" customHeight="1">
      <c r="A17" s="116" t="s">
        <v>174</v>
      </c>
      <c r="B17" s="105">
        <v>407000</v>
      </c>
      <c r="C17" s="9">
        <v>516000</v>
      </c>
      <c r="D17" s="9">
        <v>575000</v>
      </c>
      <c r="E17" s="9">
        <v>708000</v>
      </c>
      <c r="F17" s="9">
        <v>670000</v>
      </c>
      <c r="G17" s="9">
        <v>757000</v>
      </c>
      <c r="H17" s="9">
        <v>816000</v>
      </c>
    </row>
    <row r="18" spans="1:8" ht="12.45" customHeight="1">
      <c r="A18" s="118" t="s">
        <v>227</v>
      </c>
      <c r="B18" s="105">
        <v>41000</v>
      </c>
      <c r="C18" s="9">
        <v>74000</v>
      </c>
      <c r="D18" s="9">
        <v>84000</v>
      </c>
      <c r="E18" s="9">
        <v>80000</v>
      </c>
      <c r="F18" s="9">
        <v>75000</v>
      </c>
      <c r="G18" s="9">
        <v>83000</v>
      </c>
      <c r="H18" s="9">
        <v>100000</v>
      </c>
    </row>
    <row r="19" spans="1:8" ht="12.45" customHeight="1">
      <c r="A19" s="117" t="s">
        <v>228</v>
      </c>
      <c r="B19" s="105">
        <v>166000</v>
      </c>
      <c r="C19" s="9">
        <v>192000</v>
      </c>
      <c r="D19" s="9">
        <v>211000</v>
      </c>
      <c r="E19" s="9">
        <v>340000</v>
      </c>
      <c r="F19" s="9">
        <v>298000</v>
      </c>
      <c r="G19" s="9">
        <v>340000</v>
      </c>
      <c r="H19" s="9">
        <v>384000</v>
      </c>
    </row>
    <row r="20" spans="1:8" ht="12.45" customHeight="1">
      <c r="A20" s="117" t="s">
        <v>229</v>
      </c>
      <c r="B20" s="105">
        <v>27000</v>
      </c>
      <c r="C20" s="9">
        <v>33000</v>
      </c>
      <c r="D20" s="9">
        <v>28000</v>
      </c>
      <c r="E20" s="9">
        <v>33000</v>
      </c>
      <c r="F20" s="9">
        <v>39000</v>
      </c>
      <c r="G20" s="9">
        <v>37000</v>
      </c>
      <c r="H20" s="9">
        <v>43000</v>
      </c>
    </row>
    <row r="21" spans="1:8" ht="12.45" customHeight="1">
      <c r="A21" s="117" t="s">
        <v>230</v>
      </c>
      <c r="B21" s="105">
        <v>119000</v>
      </c>
      <c r="C21" s="9">
        <v>141000</v>
      </c>
      <c r="D21" s="9">
        <v>170000</v>
      </c>
      <c r="E21" s="9">
        <v>164000</v>
      </c>
      <c r="F21" s="9">
        <v>155000</v>
      </c>
      <c r="G21" s="9">
        <v>171000</v>
      </c>
      <c r="H21" s="9">
        <v>180000</v>
      </c>
    </row>
    <row r="22" spans="1:8" ht="12.45" customHeight="1">
      <c r="A22" s="117" t="s">
        <v>231</v>
      </c>
      <c r="B22" s="105">
        <v>54000</v>
      </c>
      <c r="C22" s="9">
        <v>77000</v>
      </c>
      <c r="D22" s="9">
        <v>82000</v>
      </c>
      <c r="E22" s="9">
        <v>91000</v>
      </c>
      <c r="F22" s="9">
        <v>104000</v>
      </c>
      <c r="G22" s="9">
        <v>126000</v>
      </c>
      <c r="H22" s="9">
        <v>108000</v>
      </c>
    </row>
    <row r="23" spans="1:8" ht="12.45" customHeight="1">
      <c r="A23" s="116" t="s">
        <v>175</v>
      </c>
      <c r="B23" s="105">
        <v>729000</v>
      </c>
      <c r="C23" s="9">
        <v>1043000</v>
      </c>
      <c r="D23" s="9">
        <v>1156000</v>
      </c>
      <c r="E23" s="9">
        <v>1338000</v>
      </c>
      <c r="F23" s="9">
        <v>1405000</v>
      </c>
      <c r="G23" s="9">
        <v>1469000</v>
      </c>
      <c r="H23" s="9">
        <v>1580000</v>
      </c>
    </row>
    <row r="24" spans="1:8" ht="12.45" customHeight="1">
      <c r="A24" s="116" t="s">
        <v>176</v>
      </c>
      <c r="B24" s="105">
        <v>3295000</v>
      </c>
      <c r="C24" s="9">
        <v>4279000</v>
      </c>
      <c r="D24" s="9">
        <v>4748000</v>
      </c>
      <c r="E24" s="9">
        <v>5150000</v>
      </c>
      <c r="F24" s="9">
        <v>5284000</v>
      </c>
      <c r="G24" s="9">
        <v>5915000</v>
      </c>
      <c r="H24" s="9">
        <v>5918000</v>
      </c>
    </row>
    <row r="25" spans="1:8" ht="12.45" customHeight="1">
      <c r="A25" s="138" t="s">
        <v>221</v>
      </c>
      <c r="B25" s="136">
        <v>422000</v>
      </c>
      <c r="C25" s="137">
        <v>521000</v>
      </c>
      <c r="D25" s="137">
        <v>597000</v>
      </c>
      <c r="E25" s="137">
        <v>646000</v>
      </c>
      <c r="F25" s="137">
        <v>734000</v>
      </c>
      <c r="G25" s="137">
        <v>900000</v>
      </c>
      <c r="H25" s="137">
        <v>887000</v>
      </c>
    </row>
    <row r="26" spans="1:8" ht="12.45" customHeight="1">
      <c r="A26" s="139" t="s">
        <v>174</v>
      </c>
      <c r="B26" s="105">
        <v>170000</v>
      </c>
      <c r="C26" s="9">
        <v>215000</v>
      </c>
      <c r="D26" s="9">
        <v>239000</v>
      </c>
      <c r="E26" s="9">
        <v>261000</v>
      </c>
      <c r="F26" s="9">
        <v>279000</v>
      </c>
      <c r="G26" s="9">
        <v>365000</v>
      </c>
      <c r="H26" s="9">
        <v>343000</v>
      </c>
    </row>
    <row r="27" spans="1:8" ht="12.45" customHeight="1">
      <c r="A27" s="141" t="s">
        <v>227</v>
      </c>
      <c r="B27" s="105">
        <v>55000</v>
      </c>
      <c r="C27" s="9">
        <v>74000</v>
      </c>
      <c r="D27" s="9">
        <v>80000</v>
      </c>
      <c r="E27" s="9">
        <v>88000</v>
      </c>
      <c r="F27" s="9">
        <v>90000</v>
      </c>
      <c r="G27" s="9">
        <v>118000</v>
      </c>
      <c r="H27" s="9">
        <v>118000</v>
      </c>
    </row>
    <row r="28" spans="1:8" ht="12.45" customHeight="1">
      <c r="A28" s="140" t="s">
        <v>228</v>
      </c>
      <c r="B28" s="105">
        <v>20000</v>
      </c>
      <c r="C28" s="9">
        <v>24000</v>
      </c>
      <c r="D28" s="9">
        <v>25000</v>
      </c>
      <c r="E28" s="9">
        <v>30000</v>
      </c>
      <c r="F28" s="9">
        <v>46000</v>
      </c>
      <c r="G28" s="9">
        <v>61000</v>
      </c>
      <c r="H28" s="9">
        <v>51000</v>
      </c>
    </row>
    <row r="29" spans="1:8" ht="12.45" customHeight="1">
      <c r="A29" s="140" t="s">
        <v>229</v>
      </c>
      <c r="B29" s="105">
        <v>15000</v>
      </c>
      <c r="C29" s="9">
        <v>22000</v>
      </c>
      <c r="D29" s="9">
        <v>22000</v>
      </c>
      <c r="E29" s="9">
        <v>20000</v>
      </c>
      <c r="F29" s="9">
        <v>19000</v>
      </c>
      <c r="G29" s="9">
        <v>28000</v>
      </c>
      <c r="H29" s="9">
        <v>30000</v>
      </c>
    </row>
    <row r="30" spans="1:8" ht="12.45" customHeight="1">
      <c r="A30" s="140" t="s">
        <v>230</v>
      </c>
      <c r="B30" s="105">
        <v>70000</v>
      </c>
      <c r="C30" s="9">
        <v>79000</v>
      </c>
      <c r="D30" s="9">
        <v>94000</v>
      </c>
      <c r="E30" s="9">
        <v>107000</v>
      </c>
      <c r="F30" s="9">
        <v>108000</v>
      </c>
      <c r="G30" s="9">
        <v>139000</v>
      </c>
      <c r="H30" s="9">
        <v>120000</v>
      </c>
    </row>
    <row r="31" spans="1:8" ht="12.45" customHeight="1">
      <c r="A31" s="140" t="s">
        <v>231</v>
      </c>
      <c r="B31" s="105">
        <v>10000</v>
      </c>
      <c r="C31" s="9">
        <v>17000</v>
      </c>
      <c r="D31" s="9">
        <v>18000</v>
      </c>
      <c r="E31" s="9">
        <v>15000</v>
      </c>
      <c r="F31" s="9">
        <v>16000</v>
      </c>
      <c r="G31" s="9">
        <v>20000</v>
      </c>
      <c r="H31" s="9">
        <v>25000</v>
      </c>
    </row>
    <row r="32" spans="1:8" ht="12.45" customHeight="1">
      <c r="A32" s="139" t="s">
        <v>175</v>
      </c>
      <c r="B32" s="105">
        <v>51000</v>
      </c>
      <c r="C32" s="9">
        <v>86000</v>
      </c>
      <c r="D32" s="9">
        <v>100000</v>
      </c>
      <c r="E32" s="9">
        <v>107000</v>
      </c>
      <c r="F32" s="9">
        <v>126000</v>
      </c>
      <c r="G32" s="9">
        <v>188000</v>
      </c>
      <c r="H32" s="9">
        <v>197000</v>
      </c>
    </row>
    <row r="33" spans="1:8" ht="12.45" customHeight="1">
      <c r="A33" s="139" t="s">
        <v>176</v>
      </c>
      <c r="B33" s="105">
        <v>200000</v>
      </c>
      <c r="C33" s="9">
        <v>220000</v>
      </c>
      <c r="D33" s="9">
        <v>258000</v>
      </c>
      <c r="E33" s="9">
        <v>278000</v>
      </c>
      <c r="F33" s="9">
        <v>328000</v>
      </c>
      <c r="G33" s="9">
        <v>346000</v>
      </c>
      <c r="H33" s="9">
        <v>347000</v>
      </c>
    </row>
    <row r="34" spans="1:8" ht="12.45" customHeight="1">
      <c r="A34" s="112" t="s">
        <v>653</v>
      </c>
      <c r="B34" s="109">
        <v>736000</v>
      </c>
      <c r="C34" s="104">
        <v>1027000</v>
      </c>
      <c r="D34" s="104">
        <v>1072000</v>
      </c>
      <c r="E34" s="104">
        <v>1170000</v>
      </c>
      <c r="F34" s="104">
        <v>1283000</v>
      </c>
      <c r="G34" s="104">
        <v>1280000</v>
      </c>
      <c r="H34" s="104">
        <v>1466000</v>
      </c>
    </row>
    <row r="35" spans="1:8" ht="12.45" customHeight="1">
      <c r="A35" s="163" t="s">
        <v>174</v>
      </c>
      <c r="B35" s="105">
        <v>21000</v>
      </c>
      <c r="C35" s="9">
        <v>35000</v>
      </c>
      <c r="D35" s="9">
        <v>35000</v>
      </c>
      <c r="E35" s="9">
        <v>31000</v>
      </c>
      <c r="F35" s="9">
        <v>37000</v>
      </c>
      <c r="G35" s="9">
        <v>36000</v>
      </c>
      <c r="H35" s="9">
        <v>42000</v>
      </c>
    </row>
    <row r="36" spans="1:8" ht="12.45" customHeight="1">
      <c r="A36" s="201" t="s">
        <v>227</v>
      </c>
      <c r="B36" s="105">
        <v>6000</v>
      </c>
      <c r="C36" s="9">
        <v>8000</v>
      </c>
      <c r="D36" s="9">
        <v>7000</v>
      </c>
      <c r="E36" s="9">
        <v>6000</v>
      </c>
      <c r="F36" s="9">
        <v>7000</v>
      </c>
      <c r="G36" s="9">
        <v>7000</v>
      </c>
      <c r="H36" s="9">
        <v>9000</v>
      </c>
    </row>
    <row r="37" spans="1:8" ht="12.45" customHeight="1">
      <c r="A37" s="202" t="s">
        <v>228</v>
      </c>
      <c r="B37" s="105">
        <v>3000</v>
      </c>
      <c r="C37" s="13" t="s">
        <v>191</v>
      </c>
      <c r="D37" s="13" t="s">
        <v>191</v>
      </c>
      <c r="E37" s="13" t="s">
        <v>191</v>
      </c>
      <c r="F37" s="13" t="s">
        <v>191</v>
      </c>
      <c r="G37" s="9">
        <v>6000</v>
      </c>
      <c r="H37" s="9">
        <v>6000</v>
      </c>
    </row>
    <row r="38" spans="1:8" ht="12.45" customHeight="1">
      <c r="A38" s="202" t="s">
        <v>229</v>
      </c>
      <c r="B38" s="162" t="s">
        <v>220</v>
      </c>
      <c r="C38" s="13" t="s">
        <v>220</v>
      </c>
      <c r="D38" s="13" t="s">
        <v>220</v>
      </c>
      <c r="E38" s="13" t="s">
        <v>220</v>
      </c>
      <c r="F38" s="13" t="s">
        <v>220</v>
      </c>
      <c r="G38" s="13" t="s">
        <v>220</v>
      </c>
      <c r="H38" s="13" t="s">
        <v>220</v>
      </c>
    </row>
    <row r="39" spans="1:8" ht="12.45" customHeight="1">
      <c r="A39" s="202" t="s">
        <v>230</v>
      </c>
      <c r="B39" s="105">
        <v>11000</v>
      </c>
      <c r="C39" s="9">
        <v>23000</v>
      </c>
      <c r="D39" s="9">
        <v>24000</v>
      </c>
      <c r="E39" s="9">
        <v>17000</v>
      </c>
      <c r="F39" s="9">
        <v>25000</v>
      </c>
      <c r="G39" s="9">
        <v>22000</v>
      </c>
      <c r="H39" s="9">
        <v>27000</v>
      </c>
    </row>
    <row r="40" spans="1:8" ht="12.45" customHeight="1">
      <c r="A40" s="202" t="s">
        <v>231</v>
      </c>
      <c r="B40" s="162" t="s">
        <v>220</v>
      </c>
      <c r="C40" s="13" t="s">
        <v>220</v>
      </c>
      <c r="D40" s="13" t="s">
        <v>220</v>
      </c>
      <c r="E40" s="13" t="s">
        <v>220</v>
      </c>
      <c r="F40" s="13" t="s">
        <v>220</v>
      </c>
      <c r="G40" s="13" t="s">
        <v>220</v>
      </c>
      <c r="H40" s="13" t="s">
        <v>220</v>
      </c>
    </row>
    <row r="41" spans="1:8" ht="12.45" customHeight="1">
      <c r="A41" s="163" t="s">
        <v>175</v>
      </c>
      <c r="B41" s="105">
        <v>314000</v>
      </c>
      <c r="C41" s="9">
        <v>413000</v>
      </c>
      <c r="D41" s="9">
        <v>474000</v>
      </c>
      <c r="E41" s="9">
        <v>546000</v>
      </c>
      <c r="F41" s="9">
        <v>579000</v>
      </c>
      <c r="G41" s="9">
        <v>607000</v>
      </c>
      <c r="H41" s="9">
        <v>674000</v>
      </c>
    </row>
    <row r="42" spans="1:8" ht="12.45" customHeight="1">
      <c r="A42" s="163" t="s">
        <v>176</v>
      </c>
      <c r="B42" s="105">
        <v>401000</v>
      </c>
      <c r="C42" s="9">
        <v>578000</v>
      </c>
      <c r="D42" s="9">
        <v>563000</v>
      </c>
      <c r="E42" s="9">
        <v>594000</v>
      </c>
      <c r="F42" s="9">
        <v>667000</v>
      </c>
      <c r="G42" s="9">
        <v>637000</v>
      </c>
      <c r="H42" s="9">
        <v>750000</v>
      </c>
    </row>
    <row r="43" spans="1:8" ht="12.45" customHeight="1">
      <c r="A43" s="129" t="s">
        <v>283</v>
      </c>
      <c r="B43" s="200">
        <v>17463000</v>
      </c>
      <c r="C43" s="166">
        <v>20644000</v>
      </c>
      <c r="D43" s="166">
        <v>21787000</v>
      </c>
      <c r="E43" s="166">
        <v>22723000</v>
      </c>
      <c r="F43" s="166">
        <v>23323000</v>
      </c>
      <c r="G43" s="166">
        <v>24183000</v>
      </c>
      <c r="H43" s="166">
        <v>25271000</v>
      </c>
    </row>
    <row r="44" spans="1:8" ht="12.45" customHeight="1">
      <c r="A44" s="130" t="s">
        <v>174</v>
      </c>
      <c r="B44" s="105">
        <v>3385000</v>
      </c>
      <c r="C44" s="9">
        <v>3888000</v>
      </c>
      <c r="D44" s="9">
        <v>4084000</v>
      </c>
      <c r="E44" s="9">
        <v>4590000</v>
      </c>
      <c r="F44" s="9">
        <v>4803000</v>
      </c>
      <c r="G44" s="9">
        <v>5274000</v>
      </c>
      <c r="H44" s="9">
        <v>5594000</v>
      </c>
    </row>
    <row r="45" spans="1:8" ht="12.45" customHeight="1">
      <c r="A45" s="131" t="s">
        <v>227</v>
      </c>
      <c r="B45" s="105">
        <v>257000</v>
      </c>
      <c r="C45" s="9">
        <v>310000</v>
      </c>
      <c r="D45" s="9">
        <v>328000</v>
      </c>
      <c r="E45" s="9">
        <v>329000</v>
      </c>
      <c r="F45" s="9">
        <v>319000</v>
      </c>
      <c r="G45" s="9">
        <v>361000</v>
      </c>
      <c r="H45" s="9">
        <v>427000</v>
      </c>
    </row>
    <row r="46" spans="1:8" ht="12.45" customHeight="1">
      <c r="A46" s="131" t="s">
        <v>228</v>
      </c>
      <c r="B46" s="105">
        <v>1378000</v>
      </c>
      <c r="C46" s="9">
        <v>1795000</v>
      </c>
      <c r="D46" s="9">
        <v>1980000</v>
      </c>
      <c r="E46" s="9">
        <v>2323000</v>
      </c>
      <c r="F46" s="9">
        <v>2500000</v>
      </c>
      <c r="G46" s="9">
        <v>2799000</v>
      </c>
      <c r="H46" s="9">
        <v>2979000</v>
      </c>
    </row>
    <row r="47" spans="1:8" ht="12.45" customHeight="1">
      <c r="A47" s="131" t="s">
        <v>229</v>
      </c>
      <c r="B47" s="105">
        <v>215000</v>
      </c>
      <c r="C47" s="9">
        <v>229000</v>
      </c>
      <c r="D47" s="9">
        <v>224000</v>
      </c>
      <c r="E47" s="9">
        <v>239000</v>
      </c>
      <c r="F47" s="9">
        <v>259000</v>
      </c>
      <c r="G47" s="9">
        <v>267000</v>
      </c>
      <c r="H47" s="9">
        <v>273000</v>
      </c>
    </row>
    <row r="48" spans="1:8" ht="12.45" customHeight="1">
      <c r="A48" s="131" t="s">
        <v>230</v>
      </c>
      <c r="B48" s="105">
        <v>226000</v>
      </c>
      <c r="C48" s="9">
        <v>223000</v>
      </c>
      <c r="D48" s="9">
        <v>234000</v>
      </c>
      <c r="E48" s="9">
        <v>229000</v>
      </c>
      <c r="F48" s="9">
        <v>266000</v>
      </c>
      <c r="G48" s="9">
        <v>235000</v>
      </c>
      <c r="H48" s="9">
        <v>279000</v>
      </c>
    </row>
    <row r="49" spans="1:8" ht="12.45" customHeight="1">
      <c r="A49" s="131" t="s">
        <v>231</v>
      </c>
      <c r="B49" s="105">
        <v>1309000</v>
      </c>
      <c r="C49" s="9">
        <v>1331000</v>
      </c>
      <c r="D49" s="9">
        <v>1319000</v>
      </c>
      <c r="E49" s="9">
        <v>1469000</v>
      </c>
      <c r="F49" s="9">
        <v>1459000</v>
      </c>
      <c r="G49" s="9">
        <v>1612000</v>
      </c>
      <c r="H49" s="9">
        <v>1636000</v>
      </c>
    </row>
    <row r="50" spans="1:8" ht="12.45" customHeight="1">
      <c r="A50" s="130" t="s">
        <v>175</v>
      </c>
      <c r="B50" s="105">
        <v>2341000</v>
      </c>
      <c r="C50" s="9">
        <v>3089000</v>
      </c>
      <c r="D50" s="9">
        <v>3285000</v>
      </c>
      <c r="E50" s="9">
        <v>3309000</v>
      </c>
      <c r="F50" s="9">
        <v>3507000</v>
      </c>
      <c r="G50" s="9">
        <v>3785000</v>
      </c>
      <c r="H50" s="9">
        <v>4028000</v>
      </c>
    </row>
    <row r="51" spans="1:8" ht="12.45" customHeight="1">
      <c r="A51" s="130" t="s">
        <v>176</v>
      </c>
      <c r="B51" s="105">
        <v>11736000</v>
      </c>
      <c r="C51" s="9">
        <v>13667000</v>
      </c>
      <c r="D51" s="9">
        <v>14418000</v>
      </c>
      <c r="E51" s="9">
        <v>14824000</v>
      </c>
      <c r="F51" s="9">
        <v>15013000</v>
      </c>
      <c r="G51" s="9">
        <v>15125000</v>
      </c>
      <c r="H51" s="9">
        <v>15649000</v>
      </c>
    </row>
    <row r="52" spans="1:8" ht="12.45" customHeight="1">
      <c r="A52" s="120" t="s">
        <v>218</v>
      </c>
      <c r="B52" s="124">
        <v>10843000</v>
      </c>
      <c r="C52" s="119">
        <v>12761000</v>
      </c>
      <c r="D52" s="119">
        <v>13898000</v>
      </c>
      <c r="E52" s="119">
        <v>14303000</v>
      </c>
      <c r="F52" s="119">
        <v>14606000</v>
      </c>
      <c r="G52" s="119">
        <v>15353000</v>
      </c>
      <c r="H52" s="119">
        <v>15861000</v>
      </c>
    </row>
    <row r="53" spans="1:8" ht="12.45" customHeight="1">
      <c r="A53" s="121" t="s">
        <v>174</v>
      </c>
      <c r="B53" s="105">
        <v>1925000</v>
      </c>
      <c r="C53" s="9">
        <v>2260000</v>
      </c>
      <c r="D53" s="9">
        <v>2457000</v>
      </c>
      <c r="E53" s="9">
        <v>2700000</v>
      </c>
      <c r="F53" s="9">
        <v>2867000</v>
      </c>
      <c r="G53" s="9">
        <v>3142000</v>
      </c>
      <c r="H53" s="9">
        <v>3339000</v>
      </c>
    </row>
    <row r="54" spans="1:8" ht="12.45" customHeight="1">
      <c r="A54" s="123" t="s">
        <v>227</v>
      </c>
      <c r="B54" s="105">
        <v>84000</v>
      </c>
      <c r="C54" s="9">
        <v>98000</v>
      </c>
      <c r="D54" s="9">
        <v>125000</v>
      </c>
      <c r="E54" s="9">
        <v>114000</v>
      </c>
      <c r="F54" s="9">
        <v>110000</v>
      </c>
      <c r="G54" s="9">
        <v>148000</v>
      </c>
      <c r="H54" s="9">
        <v>155000</v>
      </c>
    </row>
  </sheetData>
  <mergeCells count="1">
    <mergeCell ref="A1:I1"/>
  </mergeCell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I38"/>
  <sheetViews>
    <sheetView topLeftCell="A13" workbookViewId="0">
      <selection activeCell="A3" sqref="A3:I37"/>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42.75" customHeight="1">
      <c r="A1" s="420" t="s">
        <v>651</v>
      </c>
      <c r="B1" s="420"/>
      <c r="C1" s="420"/>
      <c r="D1" s="420"/>
      <c r="E1" s="420"/>
      <c r="F1" s="420"/>
      <c r="G1" s="420"/>
      <c r="H1" s="420"/>
      <c r="I1" s="420"/>
    </row>
    <row r="2" spans="1:9" ht="14.7" customHeight="1">
      <c r="A2" s="101" t="s">
        <v>652</v>
      </c>
      <c r="B2" s="87">
        <v>2003</v>
      </c>
      <c r="C2" s="87">
        <v>2010</v>
      </c>
      <c r="D2" s="87">
        <v>2013</v>
      </c>
      <c r="E2" s="87">
        <v>2015</v>
      </c>
      <c r="F2" s="87">
        <v>2017</v>
      </c>
      <c r="G2" s="87">
        <v>2019</v>
      </c>
      <c r="H2" s="87">
        <v>2021</v>
      </c>
    </row>
    <row r="3" spans="1:9" ht="12.45" customHeight="1">
      <c r="A3" s="122" t="s">
        <v>228</v>
      </c>
      <c r="B3" s="107">
        <v>880000</v>
      </c>
      <c r="C3" s="7">
        <v>1181000</v>
      </c>
      <c r="D3" s="7">
        <v>1350000</v>
      </c>
      <c r="E3" s="7">
        <v>1522000</v>
      </c>
      <c r="F3" s="7">
        <v>1649000</v>
      </c>
      <c r="G3" s="7">
        <v>1835000</v>
      </c>
      <c r="H3" s="7">
        <v>1961000</v>
      </c>
    </row>
    <row r="4" spans="1:9" ht="12.45" customHeight="1">
      <c r="A4" s="122" t="s">
        <v>229</v>
      </c>
      <c r="B4" s="105">
        <v>79000</v>
      </c>
      <c r="C4" s="9">
        <v>83000</v>
      </c>
      <c r="D4" s="9">
        <v>79000</v>
      </c>
      <c r="E4" s="9">
        <v>87000</v>
      </c>
      <c r="F4" s="9">
        <v>115000</v>
      </c>
      <c r="G4" s="9">
        <v>112000</v>
      </c>
      <c r="H4" s="9">
        <v>116000</v>
      </c>
    </row>
    <row r="5" spans="1:9" ht="12.45" customHeight="1">
      <c r="A5" s="122" t="s">
        <v>230</v>
      </c>
      <c r="B5" s="105">
        <v>51000</v>
      </c>
      <c r="C5" s="9">
        <v>44000</v>
      </c>
      <c r="D5" s="9">
        <v>49000</v>
      </c>
      <c r="E5" s="9">
        <v>37000</v>
      </c>
      <c r="F5" s="9">
        <v>80000</v>
      </c>
      <c r="G5" s="9">
        <v>52000</v>
      </c>
      <c r="H5" s="9">
        <v>64000</v>
      </c>
    </row>
    <row r="6" spans="1:9" ht="12.45" customHeight="1">
      <c r="A6" s="122" t="s">
        <v>231</v>
      </c>
      <c r="B6" s="105">
        <v>831000</v>
      </c>
      <c r="C6" s="9">
        <v>854000</v>
      </c>
      <c r="D6" s="9">
        <v>853000</v>
      </c>
      <c r="E6" s="9">
        <v>940000</v>
      </c>
      <c r="F6" s="9">
        <v>912000</v>
      </c>
      <c r="G6" s="9">
        <v>995000</v>
      </c>
      <c r="H6" s="9">
        <v>1043000</v>
      </c>
    </row>
    <row r="7" spans="1:9" ht="12.45" customHeight="1">
      <c r="A7" s="121" t="s">
        <v>175</v>
      </c>
      <c r="B7" s="105">
        <v>1060000</v>
      </c>
      <c r="C7" s="9">
        <v>1450000</v>
      </c>
      <c r="D7" s="9">
        <v>1571000</v>
      </c>
      <c r="E7" s="9">
        <v>1655000</v>
      </c>
      <c r="F7" s="9">
        <v>1685000</v>
      </c>
      <c r="G7" s="9">
        <v>1949000</v>
      </c>
      <c r="H7" s="9">
        <v>1988000</v>
      </c>
    </row>
    <row r="8" spans="1:9" ht="12.45" customHeight="1">
      <c r="A8" s="121" t="s">
        <v>176</v>
      </c>
      <c r="B8" s="105">
        <v>7858000</v>
      </c>
      <c r="C8" s="9">
        <v>9052000</v>
      </c>
      <c r="D8" s="9">
        <v>9871000</v>
      </c>
      <c r="E8" s="9">
        <v>9948000</v>
      </c>
      <c r="F8" s="9">
        <v>10055000</v>
      </c>
      <c r="G8" s="9">
        <v>10262000</v>
      </c>
      <c r="H8" s="9">
        <v>10534000</v>
      </c>
    </row>
    <row r="9" spans="1:9" ht="12.45" customHeight="1">
      <c r="A9" s="115" t="s">
        <v>219</v>
      </c>
      <c r="B9" s="144">
        <v>4247000</v>
      </c>
      <c r="C9" s="143">
        <v>5280000</v>
      </c>
      <c r="D9" s="143">
        <v>5249000</v>
      </c>
      <c r="E9" s="143">
        <v>5692000</v>
      </c>
      <c r="F9" s="143">
        <v>5901000</v>
      </c>
      <c r="G9" s="143">
        <v>6017000</v>
      </c>
      <c r="H9" s="143">
        <v>6375000</v>
      </c>
    </row>
    <row r="10" spans="1:9" ht="12.45" customHeight="1">
      <c r="A10" s="116" t="s">
        <v>174</v>
      </c>
      <c r="B10" s="105">
        <v>999000</v>
      </c>
      <c r="C10" s="9">
        <v>1129000</v>
      </c>
      <c r="D10" s="9">
        <v>1114000</v>
      </c>
      <c r="E10" s="9">
        <v>1367000</v>
      </c>
      <c r="F10" s="9">
        <v>1399000</v>
      </c>
      <c r="G10" s="9">
        <v>1529000</v>
      </c>
      <c r="H10" s="9">
        <v>1595000</v>
      </c>
    </row>
    <row r="11" spans="1:9" ht="12.45" customHeight="1">
      <c r="A11" s="118" t="s">
        <v>227</v>
      </c>
      <c r="B11" s="105">
        <v>54000</v>
      </c>
      <c r="C11" s="9">
        <v>78000</v>
      </c>
      <c r="D11" s="9">
        <v>74000</v>
      </c>
      <c r="E11" s="9">
        <v>88000</v>
      </c>
      <c r="F11" s="9">
        <v>74000</v>
      </c>
      <c r="G11" s="9">
        <v>69000</v>
      </c>
      <c r="H11" s="9">
        <v>88000</v>
      </c>
    </row>
    <row r="12" spans="1:9" ht="12.45" customHeight="1">
      <c r="A12" s="117" t="s">
        <v>228</v>
      </c>
      <c r="B12" s="105">
        <v>415000</v>
      </c>
      <c r="C12" s="9">
        <v>525000</v>
      </c>
      <c r="D12" s="9">
        <v>533000</v>
      </c>
      <c r="E12" s="9">
        <v>708000</v>
      </c>
      <c r="F12" s="9">
        <v>741000</v>
      </c>
      <c r="G12" s="9">
        <v>828000</v>
      </c>
      <c r="H12" s="9">
        <v>867000</v>
      </c>
    </row>
    <row r="13" spans="1:9" ht="12.45" customHeight="1">
      <c r="A13" s="117" t="s">
        <v>229</v>
      </c>
      <c r="B13" s="105">
        <v>55000</v>
      </c>
      <c r="C13" s="9">
        <v>54000</v>
      </c>
      <c r="D13" s="9">
        <v>55000</v>
      </c>
      <c r="E13" s="9">
        <v>53000</v>
      </c>
      <c r="F13" s="9">
        <v>59000</v>
      </c>
      <c r="G13" s="9">
        <v>60000</v>
      </c>
      <c r="H13" s="9">
        <v>61000</v>
      </c>
    </row>
    <row r="14" spans="1:9" ht="12.45" customHeight="1">
      <c r="A14" s="117" t="s">
        <v>230</v>
      </c>
      <c r="B14" s="105">
        <v>86000</v>
      </c>
      <c r="C14" s="9">
        <v>77000</v>
      </c>
      <c r="D14" s="9">
        <v>79000</v>
      </c>
      <c r="E14" s="9">
        <v>85000</v>
      </c>
      <c r="F14" s="9">
        <v>80000</v>
      </c>
      <c r="G14" s="9">
        <v>78000</v>
      </c>
      <c r="H14" s="9">
        <v>102000</v>
      </c>
    </row>
    <row r="15" spans="1:9" ht="12.45" customHeight="1">
      <c r="A15" s="117" t="s">
        <v>231</v>
      </c>
      <c r="B15" s="105">
        <v>389000</v>
      </c>
      <c r="C15" s="9">
        <v>395000</v>
      </c>
      <c r="D15" s="9">
        <v>374000</v>
      </c>
      <c r="E15" s="9">
        <v>434000</v>
      </c>
      <c r="F15" s="9">
        <v>445000</v>
      </c>
      <c r="G15" s="9">
        <v>493000</v>
      </c>
      <c r="H15" s="9">
        <v>476000</v>
      </c>
    </row>
    <row r="16" spans="1:9" ht="12.45" customHeight="1">
      <c r="A16" s="116" t="s">
        <v>175</v>
      </c>
      <c r="B16" s="105">
        <v>479000</v>
      </c>
      <c r="C16" s="9">
        <v>721000</v>
      </c>
      <c r="D16" s="9">
        <v>790000</v>
      </c>
      <c r="E16" s="9">
        <v>726000</v>
      </c>
      <c r="F16" s="9">
        <v>857000</v>
      </c>
      <c r="G16" s="9">
        <v>864000</v>
      </c>
      <c r="H16" s="9">
        <v>998000</v>
      </c>
    </row>
    <row r="17" spans="1:8" ht="12.45" customHeight="1">
      <c r="A17" s="116" t="s">
        <v>176</v>
      </c>
      <c r="B17" s="105">
        <v>2769000</v>
      </c>
      <c r="C17" s="9">
        <v>3430000</v>
      </c>
      <c r="D17" s="9">
        <v>3346000</v>
      </c>
      <c r="E17" s="9">
        <v>3599000</v>
      </c>
      <c r="F17" s="9">
        <v>3645000</v>
      </c>
      <c r="G17" s="9">
        <v>3625000</v>
      </c>
      <c r="H17" s="9">
        <v>3781000</v>
      </c>
    </row>
    <row r="18" spans="1:8" ht="12.45" customHeight="1">
      <c r="A18" s="138" t="s">
        <v>221</v>
      </c>
      <c r="B18" s="136">
        <v>849000</v>
      </c>
      <c r="C18" s="137">
        <v>979000</v>
      </c>
      <c r="D18" s="137">
        <v>954000</v>
      </c>
      <c r="E18" s="137">
        <v>996000</v>
      </c>
      <c r="F18" s="137">
        <v>1062000</v>
      </c>
      <c r="G18" s="137">
        <v>1190000</v>
      </c>
      <c r="H18" s="137">
        <v>1254000</v>
      </c>
    </row>
    <row r="19" spans="1:8" ht="12.45" customHeight="1">
      <c r="A19" s="139" t="s">
        <v>174</v>
      </c>
      <c r="B19" s="105">
        <v>434000</v>
      </c>
      <c r="C19" s="9">
        <v>477000</v>
      </c>
      <c r="D19" s="9">
        <v>485000</v>
      </c>
      <c r="E19" s="9">
        <v>490000</v>
      </c>
      <c r="F19" s="9">
        <v>507000</v>
      </c>
      <c r="G19" s="9">
        <v>573000</v>
      </c>
      <c r="H19" s="9">
        <v>619000</v>
      </c>
    </row>
    <row r="20" spans="1:8" ht="12.45" customHeight="1">
      <c r="A20" s="141" t="s">
        <v>227</v>
      </c>
      <c r="B20" s="105">
        <v>109000</v>
      </c>
      <c r="C20" s="9">
        <v>125000</v>
      </c>
      <c r="D20" s="9">
        <v>122000</v>
      </c>
      <c r="E20" s="9">
        <v>119000</v>
      </c>
      <c r="F20" s="9">
        <v>127000</v>
      </c>
      <c r="G20" s="9">
        <v>137000</v>
      </c>
      <c r="H20" s="9">
        <v>173000</v>
      </c>
    </row>
    <row r="21" spans="1:8" ht="12.45" customHeight="1">
      <c r="A21" s="140" t="s">
        <v>228</v>
      </c>
      <c r="B21" s="105">
        <v>75000</v>
      </c>
      <c r="C21" s="9">
        <v>85000</v>
      </c>
      <c r="D21" s="9">
        <v>87000</v>
      </c>
      <c r="E21" s="9">
        <v>87000</v>
      </c>
      <c r="F21" s="9">
        <v>104000</v>
      </c>
      <c r="G21" s="9">
        <v>128000</v>
      </c>
      <c r="H21" s="9">
        <v>134000</v>
      </c>
    </row>
    <row r="22" spans="1:8" ht="12.45" customHeight="1">
      <c r="A22" s="140" t="s">
        <v>229</v>
      </c>
      <c r="B22" s="105">
        <v>79000</v>
      </c>
      <c r="C22" s="9">
        <v>92000</v>
      </c>
      <c r="D22" s="9">
        <v>90000</v>
      </c>
      <c r="E22" s="9">
        <v>99000</v>
      </c>
      <c r="F22" s="9">
        <v>82000</v>
      </c>
      <c r="G22" s="9">
        <v>94000</v>
      </c>
      <c r="H22" s="9">
        <v>95000</v>
      </c>
    </row>
    <row r="23" spans="1:8" ht="12.45" customHeight="1">
      <c r="A23" s="140" t="s">
        <v>230</v>
      </c>
      <c r="B23" s="105">
        <v>84000</v>
      </c>
      <c r="C23" s="9">
        <v>94000</v>
      </c>
      <c r="D23" s="9">
        <v>95000</v>
      </c>
      <c r="E23" s="9">
        <v>94000</v>
      </c>
      <c r="F23" s="9">
        <v>93000</v>
      </c>
      <c r="G23" s="9">
        <v>95000</v>
      </c>
      <c r="H23" s="9">
        <v>101000</v>
      </c>
    </row>
    <row r="24" spans="1:8" ht="12.45" customHeight="1">
      <c r="A24" s="140" t="s">
        <v>231</v>
      </c>
      <c r="B24" s="105">
        <v>88000</v>
      </c>
      <c r="C24" s="9">
        <v>81000</v>
      </c>
      <c r="D24" s="9">
        <v>90000</v>
      </c>
      <c r="E24" s="9">
        <v>92000</v>
      </c>
      <c r="F24" s="9">
        <v>101000</v>
      </c>
      <c r="G24" s="9">
        <v>119000</v>
      </c>
      <c r="H24" s="9">
        <v>116000</v>
      </c>
    </row>
    <row r="25" spans="1:8" ht="12.45" customHeight="1">
      <c r="A25" s="139" t="s">
        <v>175</v>
      </c>
      <c r="B25" s="105">
        <v>72000</v>
      </c>
      <c r="C25" s="9">
        <v>138000</v>
      </c>
      <c r="D25" s="9">
        <v>136000</v>
      </c>
      <c r="E25" s="9">
        <v>122000</v>
      </c>
      <c r="F25" s="9">
        <v>140000</v>
      </c>
      <c r="G25" s="9">
        <v>199000</v>
      </c>
      <c r="H25" s="9">
        <v>177000</v>
      </c>
    </row>
    <row r="26" spans="1:8" ht="12.45" customHeight="1">
      <c r="A26" s="139" t="s">
        <v>176</v>
      </c>
      <c r="B26" s="105">
        <v>343000</v>
      </c>
      <c r="C26" s="9">
        <v>364000</v>
      </c>
      <c r="D26" s="9">
        <v>333000</v>
      </c>
      <c r="E26" s="9">
        <v>384000</v>
      </c>
      <c r="F26" s="9">
        <v>415000</v>
      </c>
      <c r="G26" s="9">
        <v>419000</v>
      </c>
      <c r="H26" s="9">
        <v>458000</v>
      </c>
    </row>
    <row r="27" spans="1:8" ht="12.45" customHeight="1">
      <c r="A27" s="112" t="s">
        <v>223</v>
      </c>
      <c r="B27" s="109">
        <v>1524000</v>
      </c>
      <c r="C27" s="104">
        <v>1624000</v>
      </c>
      <c r="D27" s="104">
        <v>1686000</v>
      </c>
      <c r="E27" s="104">
        <v>1732000</v>
      </c>
      <c r="F27" s="104">
        <v>1754000</v>
      </c>
      <c r="G27" s="104">
        <v>1623000</v>
      </c>
      <c r="H27" s="104">
        <v>1781000</v>
      </c>
    </row>
    <row r="28" spans="1:8" ht="12.45" customHeight="1">
      <c r="A28" s="163" t="s">
        <v>174</v>
      </c>
      <c r="B28" s="105">
        <v>27000</v>
      </c>
      <c r="C28" s="9">
        <v>23000</v>
      </c>
      <c r="D28" s="9">
        <v>29000</v>
      </c>
      <c r="E28" s="9">
        <v>32000</v>
      </c>
      <c r="F28" s="9">
        <v>30000</v>
      </c>
      <c r="G28" s="9">
        <v>30000</v>
      </c>
      <c r="H28" s="9">
        <v>41000</v>
      </c>
    </row>
    <row r="29" spans="1:8" ht="12.45" customHeight="1">
      <c r="A29" s="201" t="s">
        <v>227</v>
      </c>
      <c r="B29" s="105">
        <v>11000</v>
      </c>
      <c r="C29" s="9">
        <v>9000</v>
      </c>
      <c r="D29" s="9">
        <v>7000</v>
      </c>
      <c r="E29" s="9">
        <v>8000</v>
      </c>
      <c r="F29" s="9">
        <v>8000</v>
      </c>
      <c r="G29" s="9">
        <v>7000</v>
      </c>
      <c r="H29" s="9">
        <v>11000</v>
      </c>
    </row>
    <row r="30" spans="1:8" ht="12.45" customHeight="1">
      <c r="A30" s="202" t="s">
        <v>228</v>
      </c>
      <c r="B30" s="105">
        <v>8000</v>
      </c>
      <c r="C30" s="9">
        <v>4000</v>
      </c>
      <c r="D30" s="9">
        <v>9000</v>
      </c>
      <c r="E30" s="9">
        <v>7000</v>
      </c>
      <c r="F30" s="9">
        <v>7000</v>
      </c>
      <c r="G30" s="9">
        <v>8000</v>
      </c>
      <c r="H30" s="9">
        <v>15000</v>
      </c>
    </row>
    <row r="31" spans="1:8" ht="12.45" customHeight="1">
      <c r="A31" s="202" t="s">
        <v>229</v>
      </c>
      <c r="B31" s="162" t="s">
        <v>191</v>
      </c>
      <c r="C31" s="13" t="s">
        <v>222</v>
      </c>
      <c r="D31" s="13" t="s">
        <v>220</v>
      </c>
      <c r="E31" s="13" t="s">
        <v>220</v>
      </c>
      <c r="F31" s="9">
        <v>2000</v>
      </c>
      <c r="G31" s="9">
        <v>1000</v>
      </c>
      <c r="H31" s="13" t="s">
        <v>191</v>
      </c>
    </row>
    <row r="32" spans="1:8" ht="12.45" customHeight="1">
      <c r="A32" s="202" t="s">
        <v>230</v>
      </c>
      <c r="B32" s="105">
        <v>5000</v>
      </c>
      <c r="C32" s="9">
        <v>8000</v>
      </c>
      <c r="D32" s="9">
        <v>11000</v>
      </c>
      <c r="E32" s="9">
        <v>13000</v>
      </c>
      <c r="F32" s="9">
        <v>12000</v>
      </c>
      <c r="G32" s="9">
        <v>10000</v>
      </c>
      <c r="H32" s="9">
        <v>12000</v>
      </c>
    </row>
    <row r="33" spans="1:9" ht="12.45" customHeight="1">
      <c r="A33" s="202" t="s">
        <v>231</v>
      </c>
      <c r="B33" s="105">
        <v>1000</v>
      </c>
      <c r="C33" s="13" t="s">
        <v>191</v>
      </c>
      <c r="D33" s="9">
        <v>2000</v>
      </c>
      <c r="E33" s="9">
        <v>4000</v>
      </c>
      <c r="F33" s="9">
        <v>1000</v>
      </c>
      <c r="G33" s="9">
        <v>5000</v>
      </c>
      <c r="H33" s="13" t="s">
        <v>191</v>
      </c>
    </row>
    <row r="34" spans="1:9" ht="12.45" customHeight="1">
      <c r="A34" s="163" t="s">
        <v>175</v>
      </c>
      <c r="B34" s="105">
        <v>730000</v>
      </c>
      <c r="C34" s="9">
        <v>780000</v>
      </c>
      <c r="D34" s="9">
        <v>788000</v>
      </c>
      <c r="E34" s="9">
        <v>807000</v>
      </c>
      <c r="F34" s="9">
        <v>825000</v>
      </c>
      <c r="G34" s="9">
        <v>773000</v>
      </c>
      <c r="H34" s="9">
        <v>865000</v>
      </c>
    </row>
    <row r="35" spans="1:9" ht="12.45" customHeight="1">
      <c r="A35" s="163" t="s">
        <v>176</v>
      </c>
      <c r="B35" s="110">
        <v>767000</v>
      </c>
      <c r="C35" s="21">
        <v>821000</v>
      </c>
      <c r="D35" s="21">
        <v>870000</v>
      </c>
      <c r="E35" s="21">
        <v>893000</v>
      </c>
      <c r="F35" s="21">
        <v>898000</v>
      </c>
      <c r="G35" s="21">
        <v>819000</v>
      </c>
      <c r="H35" s="21">
        <v>876000</v>
      </c>
    </row>
    <row r="36" spans="1:9" ht="21.45" customHeight="1">
      <c r="A36" s="421" t="s">
        <v>224</v>
      </c>
      <c r="B36" s="421"/>
      <c r="C36" s="421"/>
      <c r="D36" s="421"/>
      <c r="E36" s="421"/>
      <c r="F36" s="421"/>
      <c r="G36" s="421"/>
      <c r="H36" s="421"/>
      <c r="I36" s="421"/>
    </row>
    <row r="37" spans="1:9" ht="70.2" customHeight="1">
      <c r="A37" s="420" t="s">
        <v>654</v>
      </c>
      <c r="B37" s="420"/>
      <c r="C37" s="420"/>
      <c r="D37" s="420"/>
      <c r="E37" s="420"/>
      <c r="F37" s="420"/>
      <c r="G37" s="420"/>
      <c r="H37" s="420"/>
      <c r="I37" s="420"/>
    </row>
    <row r="38" spans="1:9" ht="1.95" customHeight="1"/>
  </sheetData>
  <mergeCells count="3">
    <mergeCell ref="A1:I1"/>
    <mergeCell ref="A36:I36"/>
    <mergeCell ref="A37:I37"/>
  </mergeCells>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BA140"/>
  <sheetViews>
    <sheetView topLeftCell="E1" workbookViewId="0">
      <pane ySplit="3" topLeftCell="A98" activePane="bottomLeft" state="frozen"/>
      <selection pane="bottomLeft" activeCell="Q17" sqref="Q17"/>
    </sheetView>
  </sheetViews>
  <sheetFormatPr defaultRowHeight="13.2"/>
  <cols>
    <col min="1" max="1" width="46.77734375" customWidth="1"/>
    <col min="2" max="3" width="11.109375" customWidth="1"/>
    <col min="4" max="4" width="10.77734375" customWidth="1"/>
    <col min="5" max="8" width="11.109375" customWidth="1"/>
    <col min="9" max="9" width="10.77734375" bestFit="1" customWidth="1"/>
    <col min="10" max="16" width="7.44140625" bestFit="1" customWidth="1"/>
    <col min="17" max="18" width="5.109375" customWidth="1"/>
  </cols>
  <sheetData>
    <row r="1" spans="1:53" ht="39" customHeight="1">
      <c r="A1" s="420" t="s">
        <v>651</v>
      </c>
      <c r="B1" s="420"/>
      <c r="C1" s="420"/>
      <c r="D1" s="420"/>
      <c r="E1" s="420"/>
      <c r="F1" s="420"/>
      <c r="G1" s="420"/>
      <c r="H1" s="420"/>
      <c r="I1" s="420"/>
      <c r="J1" s="244"/>
      <c r="K1" s="244"/>
      <c r="L1" s="244"/>
      <c r="M1" s="244"/>
      <c r="N1" s="244"/>
      <c r="O1" s="244"/>
      <c r="P1" s="244"/>
      <c r="Q1" s="244"/>
      <c r="R1" s="244"/>
      <c r="S1" s="244"/>
      <c r="T1" s="244"/>
      <c r="U1" s="244"/>
      <c r="V1" s="244"/>
      <c r="W1" s="244"/>
      <c r="X1" s="244"/>
    </row>
    <row r="2" spans="1:53" ht="1.95" customHeight="1"/>
    <row r="3" spans="1:53" s="240" customFormat="1" ht="14.7" customHeight="1">
      <c r="A3" s="238" t="s">
        <v>652</v>
      </c>
      <c r="B3" s="239">
        <v>2003</v>
      </c>
      <c r="C3" s="239">
        <v>2010</v>
      </c>
      <c r="D3" s="239">
        <v>2013</v>
      </c>
      <c r="E3" s="239">
        <v>2015</v>
      </c>
      <c r="F3" s="239">
        <v>2017</v>
      </c>
      <c r="G3" s="239">
        <v>2019</v>
      </c>
      <c r="H3" s="239">
        <v>2021</v>
      </c>
      <c r="I3" t="s">
        <v>655</v>
      </c>
      <c r="J3" t="s">
        <v>643</v>
      </c>
      <c r="K3" t="s">
        <v>644</v>
      </c>
      <c r="L3" t="s">
        <v>645</v>
      </c>
      <c r="M3" t="s">
        <v>646</v>
      </c>
      <c r="N3" t="s">
        <v>647</v>
      </c>
      <c r="O3" t="s">
        <v>648</v>
      </c>
      <c r="P3" t="s">
        <v>649</v>
      </c>
      <c r="Q3"/>
      <c r="R3"/>
      <c r="S3" s="238" t="s">
        <v>652</v>
      </c>
      <c r="T3" s="239">
        <v>2003</v>
      </c>
      <c r="U3" s="239">
        <v>2010</v>
      </c>
      <c r="V3" s="239">
        <v>2013</v>
      </c>
      <c r="W3" s="239">
        <v>2015</v>
      </c>
      <c r="X3" s="239">
        <v>2017</v>
      </c>
      <c r="Y3" s="239">
        <v>2019</v>
      </c>
      <c r="Z3" s="239">
        <v>2021</v>
      </c>
      <c r="AB3" s="238" t="s">
        <v>652</v>
      </c>
      <c r="AC3" s="239">
        <v>2003</v>
      </c>
      <c r="AD3" s="239">
        <v>2010</v>
      </c>
      <c r="AE3" s="239">
        <v>2013</v>
      </c>
      <c r="AF3" s="239">
        <v>2015</v>
      </c>
      <c r="AG3" s="239">
        <v>2017</v>
      </c>
      <c r="AH3" s="239">
        <v>2019</v>
      </c>
      <c r="AI3" s="239">
        <v>2021</v>
      </c>
      <c r="AK3" s="238" t="s">
        <v>652</v>
      </c>
      <c r="AL3" s="239">
        <v>2003</v>
      </c>
      <c r="AM3" s="239">
        <v>2010</v>
      </c>
      <c r="AN3" s="239">
        <v>2013</v>
      </c>
      <c r="AO3" s="239">
        <v>2015</v>
      </c>
      <c r="AP3" s="239">
        <v>2017</v>
      </c>
      <c r="AQ3" s="239">
        <v>2019</v>
      </c>
      <c r="AR3" s="239">
        <v>2021</v>
      </c>
      <c r="AT3" s="238" t="s">
        <v>652</v>
      </c>
      <c r="AU3" s="239">
        <v>2003</v>
      </c>
      <c r="AV3" s="239">
        <v>2010</v>
      </c>
      <c r="AW3" s="239">
        <v>2013</v>
      </c>
      <c r="AX3" s="239">
        <v>2015</v>
      </c>
      <c r="AY3" s="239">
        <v>2017</v>
      </c>
      <c r="AZ3" s="239">
        <v>2019</v>
      </c>
      <c r="BA3" s="239">
        <v>2021</v>
      </c>
    </row>
    <row r="4" spans="1:53" ht="11.4" customHeight="1">
      <c r="A4" s="128" t="s">
        <v>641</v>
      </c>
      <c r="B4" s="127">
        <v>32574000</v>
      </c>
      <c r="C4" s="126">
        <v>40623000</v>
      </c>
      <c r="D4" s="126">
        <v>43839000</v>
      </c>
      <c r="E4" s="126">
        <v>45941000</v>
      </c>
      <c r="F4" s="126">
        <v>48223000</v>
      </c>
      <c r="G4" s="126">
        <v>50524000</v>
      </c>
      <c r="H4" s="126">
        <v>51764000</v>
      </c>
      <c r="I4" s="276">
        <f t="shared" ref="I4:I39" si="0">SUM(B4:H4)</f>
        <v>313488000</v>
      </c>
      <c r="J4" s="277">
        <f t="shared" ref="J4:J39" si="1">B4/$I4</f>
        <v>0.10390828357066299</v>
      </c>
      <c r="K4" s="277">
        <f t="shared" ref="K4:K39" si="2">C4/$I4</f>
        <v>0.12958390751799112</v>
      </c>
      <c r="L4" s="277">
        <f t="shared" ref="L4:L39" si="3">D4/$I4</f>
        <v>0.13984267340376666</v>
      </c>
      <c r="M4" s="277">
        <f t="shared" ref="M4:M39" si="4">E4/$I4</f>
        <v>0.14654787424080029</v>
      </c>
      <c r="N4" s="277">
        <f t="shared" ref="N4:N39" si="5">F4/$I4</f>
        <v>0.15382725973561986</v>
      </c>
      <c r="O4" s="277">
        <f t="shared" ref="O4:O39" si="6">G4/$I4</f>
        <v>0.16116725361098352</v>
      </c>
      <c r="P4" s="277">
        <f t="shared" ref="P4:P39" si="7">H4/$I4</f>
        <v>0.16512274792017556</v>
      </c>
      <c r="S4" s="128" t="s">
        <v>656</v>
      </c>
      <c r="T4" s="286">
        <f>B4/$I4</f>
        <v>0.10390828357066299</v>
      </c>
      <c r="U4" s="286">
        <f t="shared" ref="U4:Z4" si="8">C4/$I4</f>
        <v>0.12958390751799112</v>
      </c>
      <c r="V4" s="286">
        <f t="shared" si="8"/>
        <v>0.13984267340376666</v>
      </c>
      <c r="W4" s="286">
        <f t="shared" si="8"/>
        <v>0.14654787424080029</v>
      </c>
      <c r="X4" s="286">
        <f t="shared" si="8"/>
        <v>0.15382725973561986</v>
      </c>
      <c r="Y4" s="286">
        <f t="shared" si="8"/>
        <v>0.16116725361098352</v>
      </c>
      <c r="Z4" s="286">
        <f t="shared" si="8"/>
        <v>0.16512274792017556</v>
      </c>
      <c r="AB4" s="128" t="s">
        <v>641</v>
      </c>
      <c r="AC4" s="127">
        <v>32574000</v>
      </c>
      <c r="AD4" s="126">
        <v>40623000</v>
      </c>
      <c r="AE4" s="126">
        <v>43839000</v>
      </c>
      <c r="AF4" s="126">
        <v>45941000</v>
      </c>
      <c r="AG4" s="126">
        <v>48223000</v>
      </c>
      <c r="AH4" s="126">
        <v>50524000</v>
      </c>
      <c r="AI4" s="126">
        <v>51764000</v>
      </c>
      <c r="AK4" s="128" t="s">
        <v>656</v>
      </c>
      <c r="AL4" s="127">
        <v>32574000</v>
      </c>
      <c r="AM4" s="126">
        <v>40623000</v>
      </c>
      <c r="AN4" s="126">
        <v>43839000</v>
      </c>
      <c r="AO4" s="126">
        <v>45941000</v>
      </c>
      <c r="AP4" s="126">
        <v>48223000</v>
      </c>
      <c r="AQ4" s="126">
        <v>50524000</v>
      </c>
      <c r="AR4" s="126">
        <v>51764000</v>
      </c>
      <c r="AT4" s="129" t="s">
        <v>657</v>
      </c>
      <c r="AU4" s="200">
        <v>17463000</v>
      </c>
      <c r="AV4" s="166">
        <v>20644000</v>
      </c>
      <c r="AW4" s="166">
        <v>21787000</v>
      </c>
      <c r="AX4" s="166">
        <v>22723000</v>
      </c>
      <c r="AY4" s="166">
        <v>23323000</v>
      </c>
      <c r="AZ4" s="166">
        <v>24183000</v>
      </c>
      <c r="BA4" s="166">
        <v>25271000</v>
      </c>
    </row>
    <row r="5" spans="1:53" ht="12.45" customHeight="1">
      <c r="A5" s="129" t="s">
        <v>174</v>
      </c>
      <c r="B5" s="105">
        <v>4588000</v>
      </c>
      <c r="C5" s="9">
        <v>5374000</v>
      </c>
      <c r="D5" s="9">
        <v>5766000</v>
      </c>
      <c r="E5" s="9">
        <v>6407000</v>
      </c>
      <c r="F5" s="9">
        <v>6769000</v>
      </c>
      <c r="G5" s="9">
        <v>7466000</v>
      </c>
      <c r="H5" s="9">
        <v>7894000</v>
      </c>
      <c r="I5" s="102">
        <f t="shared" si="0"/>
        <v>44264000</v>
      </c>
      <c r="J5" s="204">
        <f t="shared" si="1"/>
        <v>0.1036508223386951</v>
      </c>
      <c r="K5" s="204">
        <f t="shared" si="2"/>
        <v>0.12140791613952648</v>
      </c>
      <c r="L5" s="204">
        <f t="shared" si="3"/>
        <v>0.13026387131754924</v>
      </c>
      <c r="M5" s="204">
        <f t="shared" si="4"/>
        <v>0.14474516537140791</v>
      </c>
      <c r="N5" s="204">
        <f t="shared" si="5"/>
        <v>0.15292336887764324</v>
      </c>
      <c r="O5" s="204">
        <f t="shared" si="6"/>
        <v>0.16866979938550516</v>
      </c>
      <c r="P5" s="204">
        <f t="shared" si="7"/>
        <v>0.17833905656967286</v>
      </c>
      <c r="S5" s="125" t="s">
        <v>218</v>
      </c>
      <c r="T5" s="204">
        <f t="shared" ref="T5:Y5" si="9">B13/$I13</f>
        <v>0.1043171363883169</v>
      </c>
      <c r="U5" s="204">
        <f t="shared" si="9"/>
        <v>0.12987265779471577</v>
      </c>
      <c r="V5" s="204">
        <f t="shared" si="9"/>
        <v>0.14241222813002632</v>
      </c>
      <c r="W5" s="204">
        <f t="shared" si="9"/>
        <v>0.14603374619663767</v>
      </c>
      <c r="X5" s="204">
        <f t="shared" si="9"/>
        <v>0.15434223601848152</v>
      </c>
      <c r="Y5" s="204">
        <f t="shared" si="9"/>
        <v>0.16070422390919056</v>
      </c>
      <c r="Z5" s="204">
        <f>H13/$I13</f>
        <v>0.16231777156263127</v>
      </c>
      <c r="AB5" s="129" t="s">
        <v>174</v>
      </c>
      <c r="AC5" s="105">
        <v>4588000</v>
      </c>
      <c r="AD5" s="9">
        <v>5374000</v>
      </c>
      <c r="AE5" s="9">
        <v>5766000</v>
      </c>
      <c r="AF5" s="9">
        <v>6407000</v>
      </c>
      <c r="AG5" s="9">
        <v>6769000</v>
      </c>
      <c r="AH5" s="9">
        <v>7466000</v>
      </c>
      <c r="AI5" s="9">
        <v>7894000</v>
      </c>
      <c r="AK5" s="125" t="s">
        <v>218</v>
      </c>
      <c r="AL5" s="124">
        <v>20365000</v>
      </c>
      <c r="AM5" s="119">
        <v>25354000</v>
      </c>
      <c r="AN5" s="119">
        <v>27802000</v>
      </c>
      <c r="AO5" s="119">
        <v>28509000</v>
      </c>
      <c r="AP5" s="119">
        <v>30131000</v>
      </c>
      <c r="AQ5" s="119">
        <v>31373000</v>
      </c>
      <c r="AR5" s="119">
        <v>31688000</v>
      </c>
      <c r="AT5" s="120" t="s">
        <v>658</v>
      </c>
      <c r="AU5" s="124">
        <v>10843000</v>
      </c>
      <c r="AV5" s="119">
        <v>12761000</v>
      </c>
      <c r="AW5" s="119">
        <v>13898000</v>
      </c>
      <c r="AX5" s="119">
        <v>14303000</v>
      </c>
      <c r="AY5" s="119">
        <v>14606000</v>
      </c>
      <c r="AZ5" s="119">
        <v>15353000</v>
      </c>
      <c r="BA5" s="119">
        <v>15861000</v>
      </c>
    </row>
    <row r="6" spans="1:53" ht="12.45" customHeight="1">
      <c r="A6" s="130" t="s">
        <v>227</v>
      </c>
      <c r="B6" s="105">
        <v>421000</v>
      </c>
      <c r="C6" s="9">
        <v>602000</v>
      </c>
      <c r="D6" s="9">
        <v>638000</v>
      </c>
      <c r="E6" s="9">
        <v>631000</v>
      </c>
      <c r="F6" s="9">
        <v>610000</v>
      </c>
      <c r="G6" s="9">
        <v>698000</v>
      </c>
      <c r="H6" s="9">
        <v>794000</v>
      </c>
      <c r="I6" s="102">
        <f t="shared" si="0"/>
        <v>4394000</v>
      </c>
      <c r="J6" s="204">
        <f t="shared" si="1"/>
        <v>9.5812471552116529E-2</v>
      </c>
      <c r="K6" s="204">
        <f t="shared" si="2"/>
        <v>0.13700500682749203</v>
      </c>
      <c r="L6" s="204">
        <f t="shared" si="3"/>
        <v>0.14519799726900318</v>
      </c>
      <c r="M6" s="204">
        <f t="shared" si="4"/>
        <v>0.1436049157942649</v>
      </c>
      <c r="N6" s="204">
        <f t="shared" si="5"/>
        <v>0.13882567137005006</v>
      </c>
      <c r="O6" s="204">
        <f t="shared" si="6"/>
        <v>0.15885298133818843</v>
      </c>
      <c r="P6" s="204">
        <f t="shared" si="7"/>
        <v>0.18070095584888485</v>
      </c>
      <c r="S6" s="114" t="s">
        <v>219</v>
      </c>
      <c r="T6" s="204">
        <f t="shared" ref="T6:Y6" si="10">B22/$I22</f>
        <v>0.10029242807771883</v>
      </c>
      <c r="U6" s="204">
        <f t="shared" si="10"/>
        <v>0.12850653628766601</v>
      </c>
      <c r="V6" s="204">
        <f t="shared" si="10"/>
        <v>0.13555717373464174</v>
      </c>
      <c r="W6" s="204">
        <f t="shared" si="10"/>
        <v>0.14896494330593987</v>
      </c>
      <c r="X6" s="204">
        <f t="shared" si="10"/>
        <v>0.15326467630639065</v>
      </c>
      <c r="Y6" s="204">
        <f t="shared" si="10"/>
        <v>0.16364413930210248</v>
      </c>
      <c r="Z6" s="204">
        <f>H22/$I22</f>
        <v>0.16977010298554041</v>
      </c>
      <c r="AB6" s="129" t="s">
        <v>175</v>
      </c>
      <c r="AC6" s="105">
        <v>5155000</v>
      </c>
      <c r="AD6" s="9">
        <v>6966000</v>
      </c>
      <c r="AE6" s="9">
        <v>7508000</v>
      </c>
      <c r="AF6" s="9">
        <v>7867000</v>
      </c>
      <c r="AG6" s="9">
        <v>8271000</v>
      </c>
      <c r="AH6" s="9">
        <v>8893000</v>
      </c>
      <c r="AI6" s="9">
        <v>9522000</v>
      </c>
      <c r="AK6" s="114" t="s">
        <v>219</v>
      </c>
      <c r="AL6" s="144">
        <v>8677000</v>
      </c>
      <c r="AM6" s="143">
        <v>11118000</v>
      </c>
      <c r="AN6" s="143">
        <v>11728000</v>
      </c>
      <c r="AO6" s="143">
        <v>12888000</v>
      </c>
      <c r="AP6" s="143">
        <v>13260000</v>
      </c>
      <c r="AQ6" s="143">
        <v>14158000</v>
      </c>
      <c r="AR6" s="143">
        <v>14688000</v>
      </c>
      <c r="AT6" s="115" t="s">
        <v>659</v>
      </c>
      <c r="AU6" s="144">
        <v>4247000</v>
      </c>
      <c r="AV6" s="143">
        <v>5280000</v>
      </c>
      <c r="AW6" s="143">
        <v>5249000</v>
      </c>
      <c r="AX6" s="143">
        <v>5692000</v>
      </c>
      <c r="AY6" s="143">
        <v>5901000</v>
      </c>
      <c r="AZ6" s="143">
        <v>6017000</v>
      </c>
      <c r="BA6" s="143">
        <v>6375000</v>
      </c>
    </row>
    <row r="7" spans="1:53" ht="12.45" customHeight="1">
      <c r="A7" s="130" t="s">
        <v>228</v>
      </c>
      <c r="B7" s="105">
        <v>1930000</v>
      </c>
      <c r="C7" s="9">
        <v>2396000</v>
      </c>
      <c r="D7" s="9">
        <v>2653000</v>
      </c>
      <c r="E7" s="9">
        <v>3156000</v>
      </c>
      <c r="F7" s="9">
        <v>3419000</v>
      </c>
      <c r="G7" s="9">
        <v>3774000</v>
      </c>
      <c r="H7" s="9">
        <v>4031000</v>
      </c>
      <c r="I7" s="102">
        <f t="shared" si="0"/>
        <v>21359000</v>
      </c>
      <c r="J7" s="204">
        <f t="shared" si="1"/>
        <v>9.0360035582190176E-2</v>
      </c>
      <c r="K7" s="204">
        <f t="shared" si="2"/>
        <v>0.11217753640151693</v>
      </c>
      <c r="L7" s="204">
        <f t="shared" si="3"/>
        <v>0.12420993492204692</v>
      </c>
      <c r="M7" s="204">
        <f t="shared" si="4"/>
        <v>0.14775972657895969</v>
      </c>
      <c r="N7" s="204">
        <f t="shared" si="5"/>
        <v>0.16007303712720633</v>
      </c>
      <c r="O7" s="204">
        <f t="shared" si="6"/>
        <v>0.17669366543377499</v>
      </c>
      <c r="P7" s="204">
        <f t="shared" si="7"/>
        <v>0.18872606395430497</v>
      </c>
      <c r="S7" s="135" t="s">
        <v>221</v>
      </c>
      <c r="T7" s="204">
        <f t="shared" ref="T7:Y7" si="11">B31/$I31</f>
        <v>0.10600500417014179</v>
      </c>
      <c r="U7" s="204">
        <f t="shared" si="11"/>
        <v>0.12510425354462051</v>
      </c>
      <c r="V7" s="204">
        <f t="shared" si="11"/>
        <v>0.12935779816513762</v>
      </c>
      <c r="W7" s="204">
        <f t="shared" si="11"/>
        <v>0.13686405337781485</v>
      </c>
      <c r="X7" s="204">
        <f t="shared" si="11"/>
        <v>0.14979149291075897</v>
      </c>
      <c r="Y7" s="204">
        <f t="shared" si="11"/>
        <v>0.1743119266055046</v>
      </c>
      <c r="Z7" s="204">
        <f>H31/$I31</f>
        <v>0.17856547122602168</v>
      </c>
      <c r="AB7" s="129" t="s">
        <v>176</v>
      </c>
      <c r="AC7" s="105">
        <v>22831000</v>
      </c>
      <c r="AD7" s="9">
        <v>28282000</v>
      </c>
      <c r="AE7" s="9">
        <v>30566000</v>
      </c>
      <c r="AF7" s="9">
        <v>31667000</v>
      </c>
      <c r="AG7" s="9">
        <v>33183000</v>
      </c>
      <c r="AH7" s="9">
        <v>34165000</v>
      </c>
      <c r="AI7" s="9">
        <v>34349000</v>
      </c>
      <c r="AK7" s="135" t="s">
        <v>221</v>
      </c>
      <c r="AL7" s="136">
        <v>1271000</v>
      </c>
      <c r="AM7" s="137">
        <v>1500000</v>
      </c>
      <c r="AN7" s="137">
        <v>1551000</v>
      </c>
      <c r="AO7" s="137">
        <v>1641000</v>
      </c>
      <c r="AP7" s="137">
        <v>1796000</v>
      </c>
      <c r="AQ7" s="137">
        <v>2090000</v>
      </c>
      <c r="AR7" s="137">
        <v>2141000</v>
      </c>
      <c r="AT7" s="138" t="s">
        <v>660</v>
      </c>
      <c r="AU7" s="136">
        <v>849000</v>
      </c>
      <c r="AV7" s="137">
        <v>979000</v>
      </c>
      <c r="AW7" s="137">
        <v>954000</v>
      </c>
      <c r="AX7" s="137">
        <v>996000</v>
      </c>
      <c r="AY7" s="137">
        <v>1062000</v>
      </c>
      <c r="AZ7" s="137">
        <v>1190000</v>
      </c>
      <c r="BA7" s="137">
        <v>1254000</v>
      </c>
    </row>
    <row r="8" spans="1:53" ht="12.45" customHeight="1">
      <c r="A8" s="130" t="s">
        <v>229</v>
      </c>
      <c r="B8" s="105">
        <v>298000</v>
      </c>
      <c r="C8" s="9">
        <v>327000</v>
      </c>
      <c r="D8" s="9">
        <v>324000</v>
      </c>
      <c r="E8" s="9">
        <v>331000</v>
      </c>
      <c r="F8" s="9">
        <v>366000</v>
      </c>
      <c r="G8" s="9">
        <v>409000</v>
      </c>
      <c r="H8" s="9">
        <v>408000</v>
      </c>
      <c r="I8" s="102">
        <f t="shared" si="0"/>
        <v>2463000</v>
      </c>
      <c r="J8" s="204">
        <f t="shared" si="1"/>
        <v>0.12099066179455949</v>
      </c>
      <c r="K8" s="204">
        <f t="shared" si="2"/>
        <v>0.13276492082825822</v>
      </c>
      <c r="L8" s="204">
        <f t="shared" si="3"/>
        <v>0.13154689403166869</v>
      </c>
      <c r="M8" s="204">
        <f t="shared" si="4"/>
        <v>0.13438895655704425</v>
      </c>
      <c r="N8" s="204">
        <f t="shared" si="5"/>
        <v>0.14859926918392205</v>
      </c>
      <c r="O8" s="204">
        <f t="shared" si="6"/>
        <v>0.16605765326837191</v>
      </c>
      <c r="P8" s="204">
        <f t="shared" si="7"/>
        <v>0.16565164433617541</v>
      </c>
      <c r="S8" s="129" t="s">
        <v>661</v>
      </c>
      <c r="T8" s="204">
        <f t="shared" ref="T8:Y8" si="12">B49/$I49</f>
        <v>9.558297963856717E-2</v>
      </c>
      <c r="U8" s="204">
        <f t="shared" si="12"/>
        <v>0.12636865642375059</v>
      </c>
      <c r="V8" s="204">
        <f t="shared" si="12"/>
        <v>0.13948751684135288</v>
      </c>
      <c r="W8" s="204">
        <f t="shared" si="12"/>
        <v>0.14686292245703478</v>
      </c>
      <c r="X8" s="204">
        <f t="shared" si="12"/>
        <v>0.15750222970023972</v>
      </c>
      <c r="Y8" s="204">
        <f t="shared" si="12"/>
        <v>0.16661711777245039</v>
      </c>
      <c r="Z8" s="204">
        <f>H49/$I49</f>
        <v>0.16757857716660446</v>
      </c>
      <c r="AB8" s="125" t="s">
        <v>218</v>
      </c>
      <c r="AC8" s="124">
        <v>20365000</v>
      </c>
      <c r="AD8" s="119">
        <v>25354000</v>
      </c>
      <c r="AE8" s="119">
        <v>27802000</v>
      </c>
      <c r="AF8" s="119">
        <v>28509000</v>
      </c>
      <c r="AG8" s="119">
        <v>30131000</v>
      </c>
      <c r="AH8" s="119">
        <v>31373000</v>
      </c>
      <c r="AI8" s="119">
        <v>31688000</v>
      </c>
    </row>
    <row r="9" spans="1:53" ht="12.45" customHeight="1">
      <c r="A9" s="130" t="s">
        <v>230</v>
      </c>
      <c r="B9" s="105">
        <v>477000</v>
      </c>
      <c r="C9" s="9">
        <v>518000</v>
      </c>
      <c r="D9" s="9">
        <v>596000</v>
      </c>
      <c r="E9" s="9">
        <v>570000</v>
      </c>
      <c r="F9" s="9">
        <v>646000</v>
      </c>
      <c r="G9" s="9">
        <v>663000</v>
      </c>
      <c r="H9" s="9">
        <v>712000</v>
      </c>
      <c r="I9" s="102">
        <f t="shared" si="0"/>
        <v>4182000</v>
      </c>
      <c r="J9" s="204">
        <f t="shared" si="1"/>
        <v>0.11406025824964132</v>
      </c>
      <c r="K9" s="204">
        <f t="shared" si="2"/>
        <v>0.12386417981826878</v>
      </c>
      <c r="L9" s="204">
        <f t="shared" si="3"/>
        <v>0.14251554280248685</v>
      </c>
      <c r="M9" s="204">
        <f t="shared" si="4"/>
        <v>0.13629842180774748</v>
      </c>
      <c r="N9" s="204">
        <f t="shared" si="5"/>
        <v>0.15447154471544716</v>
      </c>
      <c r="O9" s="204">
        <f t="shared" si="6"/>
        <v>0.15853658536585366</v>
      </c>
      <c r="P9" s="204">
        <f t="shared" si="7"/>
        <v>0.17025346724055476</v>
      </c>
      <c r="S9" s="120" t="s">
        <v>662</v>
      </c>
      <c r="T9" s="204">
        <f t="shared" ref="T9:Y9" si="13">B58/$I58</f>
        <v>9.7565473994835852E-2</v>
      </c>
      <c r="U9" s="204">
        <f t="shared" si="13"/>
        <v>0.12902168121644331</v>
      </c>
      <c r="V9" s="204">
        <f t="shared" si="13"/>
        <v>0.14246485511701298</v>
      </c>
      <c r="W9" s="204">
        <f t="shared" si="13"/>
        <v>0.14555924423132097</v>
      </c>
      <c r="X9" s="204">
        <f t="shared" si="13"/>
        <v>0.15906389606131399</v>
      </c>
      <c r="Y9" s="204">
        <f t="shared" si="13"/>
        <v>0.1641563178818804</v>
      </c>
      <c r="Z9" s="204">
        <f>H58/$I58</f>
        <v>0.16216853149719251</v>
      </c>
      <c r="AB9" s="120" t="s">
        <v>174</v>
      </c>
      <c r="AC9" s="105">
        <v>2529000</v>
      </c>
      <c r="AD9" s="9">
        <v>2980000</v>
      </c>
      <c r="AE9" s="9">
        <v>3288000</v>
      </c>
      <c r="AF9" s="9">
        <v>3518000</v>
      </c>
      <c r="AG9" s="9">
        <v>3846000</v>
      </c>
      <c r="AH9" s="9">
        <v>4176000</v>
      </c>
      <c r="AI9" s="9">
        <v>4438000</v>
      </c>
    </row>
    <row r="10" spans="1:53" ht="12.45" customHeight="1">
      <c r="A10" s="130" t="s">
        <v>231</v>
      </c>
      <c r="B10" s="105">
        <v>1463000</v>
      </c>
      <c r="C10" s="9">
        <v>1531000</v>
      </c>
      <c r="D10" s="9">
        <v>1554000</v>
      </c>
      <c r="E10" s="9">
        <v>1719000</v>
      </c>
      <c r="F10" s="9">
        <v>1728000</v>
      </c>
      <c r="G10" s="9">
        <v>1921000</v>
      </c>
      <c r="H10" s="9">
        <v>1949000</v>
      </c>
      <c r="I10" s="102">
        <f t="shared" si="0"/>
        <v>11865000</v>
      </c>
      <c r="J10" s="204">
        <f t="shared" si="1"/>
        <v>0.12330383480825959</v>
      </c>
      <c r="K10" s="204">
        <f t="shared" si="2"/>
        <v>0.12903497682258744</v>
      </c>
      <c r="L10" s="204">
        <f t="shared" si="3"/>
        <v>0.13097345132743363</v>
      </c>
      <c r="M10" s="204">
        <f t="shared" si="4"/>
        <v>0.14487989886219974</v>
      </c>
      <c r="N10" s="204">
        <f t="shared" si="5"/>
        <v>0.14563843236409607</v>
      </c>
      <c r="O10" s="204">
        <f t="shared" si="6"/>
        <v>0.16190476190476191</v>
      </c>
      <c r="P10" s="204">
        <f t="shared" si="7"/>
        <v>0.16426464391066162</v>
      </c>
      <c r="S10" s="115" t="s">
        <v>663</v>
      </c>
      <c r="T10" s="204">
        <f t="shared" ref="T10:Y10" si="14">B67/$I67</f>
        <v>9.2780267180367693E-2</v>
      </c>
      <c r="U10" s="204">
        <f t="shared" si="14"/>
        <v>0.12224129988692994</v>
      </c>
      <c r="V10" s="204">
        <f t="shared" si="14"/>
        <v>0.13566313497215127</v>
      </c>
      <c r="W10" s="204">
        <f t="shared" si="14"/>
        <v>0.15067632647933329</v>
      </c>
      <c r="X10" s="204">
        <f t="shared" si="14"/>
        <v>0.15408936722643327</v>
      </c>
      <c r="Y10" s="204">
        <f t="shared" si="14"/>
        <v>0.17046358725239749</v>
      </c>
      <c r="Z10" s="204">
        <f>H67/$I67</f>
        <v>0.17408601700238704</v>
      </c>
      <c r="AB10" s="120" t="s">
        <v>175</v>
      </c>
      <c r="AC10" s="105">
        <v>2779000</v>
      </c>
      <c r="AD10" s="9">
        <v>3784000</v>
      </c>
      <c r="AE10" s="9">
        <v>4065000</v>
      </c>
      <c r="AF10" s="9">
        <v>4222000</v>
      </c>
      <c r="AG10" s="9">
        <v>4338000</v>
      </c>
      <c r="AH10" s="9">
        <v>4794000</v>
      </c>
      <c r="AI10" s="9">
        <v>5031000</v>
      </c>
    </row>
    <row r="11" spans="1:53" ht="12.45" customHeight="1">
      <c r="A11" s="129" t="s">
        <v>175</v>
      </c>
      <c r="B11" s="105">
        <v>5155000</v>
      </c>
      <c r="C11" s="9">
        <v>6966000</v>
      </c>
      <c r="D11" s="9">
        <v>7508000</v>
      </c>
      <c r="E11" s="9">
        <v>7867000</v>
      </c>
      <c r="F11" s="9">
        <v>8271000</v>
      </c>
      <c r="G11" s="9">
        <v>8893000</v>
      </c>
      <c r="H11" s="9">
        <v>9522000</v>
      </c>
      <c r="I11" s="102">
        <f t="shared" si="0"/>
        <v>54182000</v>
      </c>
      <c r="J11" s="204">
        <f t="shared" si="1"/>
        <v>9.5142298180207446E-2</v>
      </c>
      <c r="K11" s="204">
        <f t="shared" si="2"/>
        <v>0.12856668266213872</v>
      </c>
      <c r="L11" s="204">
        <f t="shared" si="3"/>
        <v>0.13857000479864162</v>
      </c>
      <c r="M11" s="204">
        <f t="shared" si="4"/>
        <v>0.14519582149053192</v>
      </c>
      <c r="N11" s="204">
        <f t="shared" si="5"/>
        <v>0.15265217230814662</v>
      </c>
      <c r="O11" s="204">
        <f t="shared" si="6"/>
        <v>0.16413199955704846</v>
      </c>
      <c r="P11" s="204">
        <f t="shared" si="7"/>
        <v>0.17574102100328523</v>
      </c>
      <c r="S11" s="138" t="s">
        <v>664</v>
      </c>
      <c r="T11" s="204">
        <f t="shared" ref="T11:Y11" si="15">B76/$I76</f>
        <v>8.9653707244529424E-2</v>
      </c>
      <c r="U11" s="204">
        <f t="shared" si="15"/>
        <v>0.11068621202464415</v>
      </c>
      <c r="V11" s="204">
        <f t="shared" si="15"/>
        <v>0.12683237731038879</v>
      </c>
      <c r="W11" s="204">
        <f t="shared" si="15"/>
        <v>0.13724240492882941</v>
      </c>
      <c r="X11" s="204">
        <f t="shared" si="15"/>
        <v>0.15593796473337582</v>
      </c>
      <c r="Y11" s="204">
        <f t="shared" si="15"/>
        <v>0.19120458891013384</v>
      </c>
      <c r="Z11" s="204">
        <f>H76/$I76</f>
        <v>0.18844274484809859</v>
      </c>
      <c r="AB11" s="120" t="s">
        <v>176</v>
      </c>
      <c r="AC11" s="105">
        <v>15057000</v>
      </c>
      <c r="AD11" s="9">
        <v>18589000</v>
      </c>
      <c r="AE11" s="9">
        <v>20449000</v>
      </c>
      <c r="AF11" s="9">
        <v>20769000</v>
      </c>
      <c r="AG11" s="9">
        <v>21946000</v>
      </c>
      <c r="AH11" s="9">
        <v>22403000</v>
      </c>
      <c r="AI11" s="9">
        <v>22219000</v>
      </c>
    </row>
    <row r="12" spans="1:53" ht="12.45" customHeight="1">
      <c r="A12" s="129" t="s">
        <v>176</v>
      </c>
      <c r="B12" s="105">
        <v>22831000</v>
      </c>
      <c r="C12" s="9">
        <v>28282000</v>
      </c>
      <c r="D12" s="9">
        <v>30566000</v>
      </c>
      <c r="E12" s="9">
        <v>31667000</v>
      </c>
      <c r="F12" s="9">
        <v>33183000</v>
      </c>
      <c r="G12" s="9">
        <v>34165000</v>
      </c>
      <c r="H12" s="9">
        <v>34349000</v>
      </c>
      <c r="I12" s="102">
        <f t="shared" si="0"/>
        <v>215043000</v>
      </c>
      <c r="J12" s="204">
        <f t="shared" si="1"/>
        <v>0.10616946378166227</v>
      </c>
      <c r="K12" s="204">
        <f t="shared" si="2"/>
        <v>0.13151788247001761</v>
      </c>
      <c r="L12" s="204">
        <f t="shared" si="3"/>
        <v>0.14213901405765358</v>
      </c>
      <c r="M12" s="204">
        <f t="shared" si="4"/>
        <v>0.14725892030896146</v>
      </c>
      <c r="N12" s="204">
        <f t="shared" si="5"/>
        <v>0.15430867314909111</v>
      </c>
      <c r="O12" s="204">
        <f t="shared" si="6"/>
        <v>0.15887520170384528</v>
      </c>
      <c r="P12" s="204">
        <f t="shared" si="7"/>
        <v>0.15973084452876868</v>
      </c>
      <c r="S12" s="129" t="s">
        <v>657</v>
      </c>
      <c r="T12" s="204">
        <f t="shared" ref="T12:Y12" si="16">B94/$I94</f>
        <v>0.11237885632649909</v>
      </c>
      <c r="U12" s="204">
        <f t="shared" si="16"/>
        <v>0.13284940216481975</v>
      </c>
      <c r="V12" s="204">
        <f t="shared" si="16"/>
        <v>0.14020489851603021</v>
      </c>
      <c r="W12" s="204">
        <f t="shared" si="16"/>
        <v>0.14622829710284824</v>
      </c>
      <c r="X12" s="204">
        <f t="shared" si="16"/>
        <v>0.15008945004311622</v>
      </c>
      <c r="Y12" s="204">
        <f t="shared" si="16"/>
        <v>0.15562376925750029</v>
      </c>
      <c r="Z12" s="204">
        <f>H94/$I94</f>
        <v>0.16262532658918619</v>
      </c>
      <c r="AB12" s="114" t="s">
        <v>219</v>
      </c>
      <c r="AC12" s="144">
        <v>8677000</v>
      </c>
      <c r="AD12" s="143">
        <v>11118000</v>
      </c>
      <c r="AE12" s="143">
        <v>11728000</v>
      </c>
      <c r="AF12" s="143">
        <v>12888000</v>
      </c>
      <c r="AG12" s="143">
        <v>13260000</v>
      </c>
      <c r="AH12" s="143">
        <v>14158000</v>
      </c>
      <c r="AI12" s="143">
        <v>14688000</v>
      </c>
    </row>
    <row r="13" spans="1:53" ht="12.45" customHeight="1">
      <c r="A13" s="125" t="s">
        <v>218</v>
      </c>
      <c r="B13" s="124">
        <v>20365000</v>
      </c>
      <c r="C13" s="119">
        <v>25354000</v>
      </c>
      <c r="D13" s="119">
        <v>27802000</v>
      </c>
      <c r="E13" s="119">
        <v>28509000</v>
      </c>
      <c r="F13" s="119">
        <v>30131000</v>
      </c>
      <c r="G13" s="119">
        <v>31373000</v>
      </c>
      <c r="H13" s="119">
        <v>31688000</v>
      </c>
      <c r="I13" s="278">
        <f t="shared" si="0"/>
        <v>195222000</v>
      </c>
      <c r="J13" s="279">
        <f t="shared" si="1"/>
        <v>0.1043171363883169</v>
      </c>
      <c r="K13" s="279">
        <f t="shared" si="2"/>
        <v>0.12987265779471577</v>
      </c>
      <c r="L13" s="279">
        <f t="shared" si="3"/>
        <v>0.14241222813002632</v>
      </c>
      <c r="M13" s="279">
        <f t="shared" si="4"/>
        <v>0.14603374619663767</v>
      </c>
      <c r="N13" s="279">
        <f t="shared" si="5"/>
        <v>0.15434223601848152</v>
      </c>
      <c r="O13" s="279">
        <f t="shared" si="6"/>
        <v>0.16070422390919056</v>
      </c>
      <c r="P13" s="279">
        <f t="shared" si="7"/>
        <v>0.16231777156263127</v>
      </c>
      <c r="S13" s="120" t="s">
        <v>658</v>
      </c>
      <c r="T13" s="204">
        <f t="shared" ref="T13:Y13" si="17">B103/$I103</f>
        <v>0.11106786171574903</v>
      </c>
      <c r="U13" s="204">
        <f t="shared" si="17"/>
        <v>0.13071446862996158</v>
      </c>
      <c r="V13" s="204">
        <f t="shared" si="17"/>
        <v>0.14236107554417413</v>
      </c>
      <c r="W13" s="204">
        <f t="shared" si="17"/>
        <v>0.14650960307298336</v>
      </c>
      <c r="X13" s="204">
        <f t="shared" si="17"/>
        <v>0.14961331626120358</v>
      </c>
      <c r="Y13" s="204">
        <f t="shared" si="17"/>
        <v>0.15726504481434059</v>
      </c>
      <c r="Z13" s="204">
        <f>H103/$I103</f>
        <v>0.1624686299615877</v>
      </c>
      <c r="AB13" s="115" t="s">
        <v>174</v>
      </c>
      <c r="AC13" s="105">
        <v>1406000</v>
      </c>
      <c r="AD13" s="9">
        <v>1644000</v>
      </c>
      <c r="AE13" s="9">
        <v>1689000</v>
      </c>
      <c r="AF13" s="9">
        <v>2076000</v>
      </c>
      <c r="AG13" s="9">
        <v>2069000</v>
      </c>
      <c r="AH13" s="9">
        <v>2286000</v>
      </c>
      <c r="AI13" s="9">
        <v>2411000</v>
      </c>
    </row>
    <row r="14" spans="1:53" ht="12.45" customHeight="1">
      <c r="A14" s="120" t="s">
        <v>174</v>
      </c>
      <c r="B14" s="105">
        <v>2529000</v>
      </c>
      <c r="C14" s="9">
        <v>2980000</v>
      </c>
      <c r="D14" s="9">
        <v>3288000</v>
      </c>
      <c r="E14" s="9">
        <v>3518000</v>
      </c>
      <c r="F14" s="9">
        <v>3846000</v>
      </c>
      <c r="G14" s="9">
        <v>4176000</v>
      </c>
      <c r="H14" s="9">
        <v>4438000</v>
      </c>
      <c r="I14" s="102">
        <f t="shared" si="0"/>
        <v>24775000</v>
      </c>
      <c r="J14" s="204">
        <f t="shared" si="1"/>
        <v>0.1020787083753784</v>
      </c>
      <c r="K14" s="204">
        <f t="shared" si="2"/>
        <v>0.12028254288597376</v>
      </c>
      <c r="L14" s="204">
        <f t="shared" si="3"/>
        <v>0.13271442986881937</v>
      </c>
      <c r="M14" s="204">
        <f t="shared" si="4"/>
        <v>0.14199798183652876</v>
      </c>
      <c r="N14" s="204">
        <f t="shared" si="5"/>
        <v>0.15523713420787083</v>
      </c>
      <c r="O14" s="204">
        <f t="shared" si="6"/>
        <v>0.16855701311806257</v>
      </c>
      <c r="P14" s="204">
        <f t="shared" si="7"/>
        <v>0.1791321897073663</v>
      </c>
      <c r="S14" s="115" t="s">
        <v>659</v>
      </c>
      <c r="T14" s="204">
        <f t="shared" ref="T14:Y14" si="18">B112/$I112</f>
        <v>0.10956889657129588</v>
      </c>
      <c r="U14" s="204">
        <f t="shared" si="18"/>
        <v>0.13621939578442249</v>
      </c>
      <c r="V14" s="204">
        <f t="shared" si="18"/>
        <v>0.1354196228167488</v>
      </c>
      <c r="W14" s="204">
        <f t="shared" si="18"/>
        <v>0.14684863651608576</v>
      </c>
      <c r="X14" s="204">
        <f t="shared" si="18"/>
        <v>0.15224065426588582</v>
      </c>
      <c r="Y14" s="204">
        <f t="shared" si="18"/>
        <v>0.15523335311266478</v>
      </c>
      <c r="Z14" s="204">
        <f>H112/$I112</f>
        <v>0.16446944093289648</v>
      </c>
      <c r="AB14" s="115" t="s">
        <v>175</v>
      </c>
      <c r="AC14" s="105">
        <v>1208000</v>
      </c>
      <c r="AD14" s="9">
        <v>1765000</v>
      </c>
      <c r="AE14" s="9">
        <v>1945000</v>
      </c>
      <c r="AF14" s="9">
        <v>2064000</v>
      </c>
      <c r="AG14" s="9">
        <v>2262000</v>
      </c>
      <c r="AH14" s="9">
        <v>2332000</v>
      </c>
      <c r="AI14" s="9">
        <v>2578000</v>
      </c>
    </row>
    <row r="15" spans="1:53" ht="12.45" customHeight="1">
      <c r="A15" s="185" t="s">
        <v>227</v>
      </c>
      <c r="B15" s="105">
        <v>146000</v>
      </c>
      <c r="C15" s="9">
        <v>233000</v>
      </c>
      <c r="D15" s="9">
        <v>264000</v>
      </c>
      <c r="E15" s="9">
        <v>241000</v>
      </c>
      <c r="F15" s="9">
        <v>230000</v>
      </c>
      <c r="G15" s="9">
        <v>277000</v>
      </c>
      <c r="H15" s="9">
        <v>295000</v>
      </c>
      <c r="I15" s="102">
        <f t="shared" si="0"/>
        <v>1686000</v>
      </c>
      <c r="J15" s="204">
        <f t="shared" si="1"/>
        <v>8.6595492289442466E-2</v>
      </c>
      <c r="K15" s="204">
        <f t="shared" si="2"/>
        <v>0.13819691577698695</v>
      </c>
      <c r="L15" s="204">
        <f t="shared" si="3"/>
        <v>0.15658362989323843</v>
      </c>
      <c r="M15" s="204">
        <f t="shared" si="4"/>
        <v>0.14294187425860025</v>
      </c>
      <c r="N15" s="204">
        <f t="shared" si="5"/>
        <v>0.13641755634638197</v>
      </c>
      <c r="O15" s="204">
        <f t="shared" si="6"/>
        <v>0.16429418742586002</v>
      </c>
      <c r="P15" s="204">
        <f t="shared" si="7"/>
        <v>0.17497034400948991</v>
      </c>
      <c r="S15" s="138" t="s">
        <v>660</v>
      </c>
      <c r="T15" s="204">
        <f t="shared" ref="T15:Y15" si="19">B121/$I121</f>
        <v>0.11655683690280066</v>
      </c>
      <c r="U15" s="204">
        <f t="shared" si="19"/>
        <v>0.1344041735310269</v>
      </c>
      <c r="V15" s="204">
        <f t="shared" si="19"/>
        <v>0.13097199341021418</v>
      </c>
      <c r="W15" s="204">
        <f t="shared" si="19"/>
        <v>0.13673805601317957</v>
      </c>
      <c r="X15" s="204">
        <f t="shared" si="19"/>
        <v>0.14579901153212521</v>
      </c>
      <c r="Y15" s="204">
        <f t="shared" si="19"/>
        <v>0.16337177375068643</v>
      </c>
      <c r="Z15" s="204">
        <f>H121/$I121</f>
        <v>0.17215815485996705</v>
      </c>
      <c r="AB15" s="115" t="s">
        <v>176</v>
      </c>
      <c r="AC15" s="105">
        <v>6063000</v>
      </c>
      <c r="AD15" s="9">
        <v>7709000</v>
      </c>
      <c r="AE15" s="9">
        <v>8093000</v>
      </c>
      <c r="AF15" s="9">
        <v>8749000</v>
      </c>
      <c r="AG15" s="9">
        <v>8929000</v>
      </c>
      <c r="AH15" s="9">
        <v>9540000</v>
      </c>
      <c r="AI15" s="9">
        <v>9699000</v>
      </c>
    </row>
    <row r="16" spans="1:53" ht="12.45" customHeight="1">
      <c r="A16" s="121" t="s">
        <v>228</v>
      </c>
      <c r="B16" s="105">
        <v>1243000</v>
      </c>
      <c r="C16" s="9">
        <v>1564000</v>
      </c>
      <c r="D16" s="9">
        <v>1785000</v>
      </c>
      <c r="E16" s="9">
        <v>1978000</v>
      </c>
      <c r="F16" s="9">
        <v>2219000</v>
      </c>
      <c r="G16" s="9">
        <v>2403000</v>
      </c>
      <c r="H16" s="9">
        <v>2574000</v>
      </c>
      <c r="I16" s="102">
        <f t="shared" si="0"/>
        <v>13766000</v>
      </c>
      <c r="J16" s="204">
        <f t="shared" si="1"/>
        <v>9.0294929536539295E-2</v>
      </c>
      <c r="K16" s="204">
        <f t="shared" si="2"/>
        <v>0.11361325003632138</v>
      </c>
      <c r="L16" s="204">
        <f t="shared" si="3"/>
        <v>0.12966729623710591</v>
      </c>
      <c r="M16" s="204">
        <f t="shared" si="4"/>
        <v>0.14368734563417115</v>
      </c>
      <c r="N16" s="204">
        <f t="shared" si="5"/>
        <v>0.16119424669475518</v>
      </c>
      <c r="O16" s="204">
        <f t="shared" si="6"/>
        <v>0.17456051140491066</v>
      </c>
      <c r="P16" s="204">
        <f t="shared" si="7"/>
        <v>0.18698242045619642</v>
      </c>
      <c r="AB16" s="135" t="s">
        <v>221</v>
      </c>
      <c r="AC16" s="136">
        <v>1271000</v>
      </c>
      <c r="AD16" s="137">
        <v>1500000</v>
      </c>
      <c r="AE16" s="137">
        <v>1551000</v>
      </c>
      <c r="AF16" s="137">
        <v>1641000</v>
      </c>
      <c r="AG16" s="137">
        <v>1796000</v>
      </c>
      <c r="AH16" s="137">
        <v>2090000</v>
      </c>
      <c r="AI16" s="137">
        <v>2141000</v>
      </c>
    </row>
    <row r="17" spans="1:53" ht="12.45" customHeight="1">
      <c r="A17" s="121" t="s">
        <v>229</v>
      </c>
      <c r="B17" s="105">
        <v>119000</v>
      </c>
      <c r="C17" s="9">
        <v>126000</v>
      </c>
      <c r="D17" s="9">
        <v>128000</v>
      </c>
      <c r="E17" s="9">
        <v>126000</v>
      </c>
      <c r="F17" s="9">
        <v>164000</v>
      </c>
      <c r="G17" s="9">
        <v>189000</v>
      </c>
      <c r="H17" s="9">
        <v>177000</v>
      </c>
      <c r="I17" s="102">
        <f t="shared" si="0"/>
        <v>1029000</v>
      </c>
      <c r="J17" s="204">
        <f t="shared" si="1"/>
        <v>0.11564625850340136</v>
      </c>
      <c r="K17" s="204">
        <f t="shared" si="2"/>
        <v>0.12244897959183673</v>
      </c>
      <c r="L17" s="204">
        <f t="shared" si="3"/>
        <v>0.12439261418853255</v>
      </c>
      <c r="M17" s="204">
        <f t="shared" si="4"/>
        <v>0.12244897959183673</v>
      </c>
      <c r="N17" s="204">
        <f t="shared" si="5"/>
        <v>0.15937803692905733</v>
      </c>
      <c r="O17" s="204">
        <f t="shared" si="6"/>
        <v>0.18367346938775511</v>
      </c>
      <c r="P17" s="204">
        <f t="shared" si="7"/>
        <v>0.17201166180758018</v>
      </c>
      <c r="AB17" s="138" t="s">
        <v>174</v>
      </c>
      <c r="AC17" s="105">
        <v>605000</v>
      </c>
      <c r="AD17" s="9">
        <v>692000</v>
      </c>
      <c r="AE17" s="9">
        <v>724000</v>
      </c>
      <c r="AF17" s="9">
        <v>751000</v>
      </c>
      <c r="AG17" s="9">
        <v>786000</v>
      </c>
      <c r="AH17" s="9">
        <v>938000</v>
      </c>
      <c r="AI17" s="9">
        <v>962000</v>
      </c>
    </row>
    <row r="18" spans="1:53" ht="12.45" customHeight="1">
      <c r="A18" s="121" t="s">
        <v>230</v>
      </c>
      <c r="B18" s="105">
        <v>101000</v>
      </c>
      <c r="C18" s="9">
        <v>96000</v>
      </c>
      <c r="D18" s="9">
        <v>124000</v>
      </c>
      <c r="E18" s="9">
        <v>90000</v>
      </c>
      <c r="F18" s="9">
        <v>172000</v>
      </c>
      <c r="G18" s="9">
        <v>147000</v>
      </c>
      <c r="H18" s="9">
        <v>170000</v>
      </c>
      <c r="I18" s="102">
        <f t="shared" si="0"/>
        <v>900000</v>
      </c>
      <c r="J18" s="204">
        <f t="shared" si="1"/>
        <v>0.11222222222222222</v>
      </c>
      <c r="K18" s="204">
        <f t="shared" si="2"/>
        <v>0.10666666666666667</v>
      </c>
      <c r="L18" s="204">
        <f t="shared" si="3"/>
        <v>0.13777777777777778</v>
      </c>
      <c r="M18" s="204">
        <f t="shared" si="4"/>
        <v>0.1</v>
      </c>
      <c r="N18" s="204">
        <f t="shared" si="5"/>
        <v>0.19111111111111112</v>
      </c>
      <c r="O18" s="204">
        <f t="shared" si="6"/>
        <v>0.16333333333333333</v>
      </c>
      <c r="P18" s="204">
        <f t="shared" si="7"/>
        <v>0.18888888888888888</v>
      </c>
      <c r="AB18" s="138" t="s">
        <v>175</v>
      </c>
      <c r="AC18" s="105">
        <v>123000</v>
      </c>
      <c r="AD18" s="9">
        <v>224000</v>
      </c>
      <c r="AE18" s="9">
        <v>236000</v>
      </c>
      <c r="AF18" s="9">
        <v>229000</v>
      </c>
      <c r="AG18" s="9">
        <v>267000</v>
      </c>
      <c r="AH18" s="9">
        <v>387000</v>
      </c>
      <c r="AI18" s="9">
        <v>374000</v>
      </c>
    </row>
    <row r="19" spans="1:53" ht="12.45" customHeight="1">
      <c r="A19" s="121" t="s">
        <v>231</v>
      </c>
      <c r="B19" s="105">
        <v>920000</v>
      </c>
      <c r="C19" s="9">
        <v>960000</v>
      </c>
      <c r="D19" s="9">
        <v>988000</v>
      </c>
      <c r="E19" s="9">
        <v>1083000</v>
      </c>
      <c r="F19" s="9">
        <v>1061000</v>
      </c>
      <c r="G19" s="9">
        <v>1158000</v>
      </c>
      <c r="H19" s="9">
        <v>1222000</v>
      </c>
      <c r="I19" s="102">
        <f t="shared" si="0"/>
        <v>7392000</v>
      </c>
      <c r="J19" s="204">
        <f t="shared" si="1"/>
        <v>0.12445887445887446</v>
      </c>
      <c r="K19" s="204">
        <f t="shared" si="2"/>
        <v>0.12987012987012986</v>
      </c>
      <c r="L19" s="204">
        <f t="shared" si="3"/>
        <v>0.13365800865800867</v>
      </c>
      <c r="M19" s="204">
        <f t="shared" si="4"/>
        <v>0.14650974025974026</v>
      </c>
      <c r="N19" s="204">
        <f t="shared" si="5"/>
        <v>0.14353354978354979</v>
      </c>
      <c r="O19" s="204">
        <f t="shared" si="6"/>
        <v>0.15665584415584416</v>
      </c>
      <c r="P19" s="204">
        <f t="shared" si="7"/>
        <v>0.1653138528138528</v>
      </c>
      <c r="AB19" s="138" t="s">
        <v>176</v>
      </c>
      <c r="AC19" s="105">
        <v>543000</v>
      </c>
      <c r="AD19" s="9">
        <v>584000</v>
      </c>
      <c r="AE19" s="9">
        <v>590000</v>
      </c>
      <c r="AF19" s="9">
        <v>662000</v>
      </c>
      <c r="AG19" s="9">
        <v>743000</v>
      </c>
      <c r="AH19" s="9">
        <v>765000</v>
      </c>
      <c r="AI19" s="9">
        <v>805000</v>
      </c>
    </row>
    <row r="20" spans="1:53" ht="12.45" customHeight="1">
      <c r="A20" s="120" t="s">
        <v>175</v>
      </c>
      <c r="B20" s="105">
        <v>2779000</v>
      </c>
      <c r="C20" s="9">
        <v>3784000</v>
      </c>
      <c r="D20" s="9">
        <v>4065000</v>
      </c>
      <c r="E20" s="9">
        <v>4222000</v>
      </c>
      <c r="F20" s="9">
        <v>4338000</v>
      </c>
      <c r="G20" s="9">
        <v>4794000</v>
      </c>
      <c r="H20" s="9">
        <v>5031000</v>
      </c>
      <c r="I20" s="102">
        <f t="shared" si="0"/>
        <v>29013000</v>
      </c>
      <c r="J20" s="204">
        <f t="shared" si="1"/>
        <v>9.5784648261124331E-2</v>
      </c>
      <c r="K20" s="204">
        <f t="shared" si="2"/>
        <v>0.13042429255850826</v>
      </c>
      <c r="L20" s="204">
        <f t="shared" si="3"/>
        <v>0.14010960603867231</v>
      </c>
      <c r="M20" s="204">
        <f t="shared" si="4"/>
        <v>0.14552097335677111</v>
      </c>
      <c r="N20" s="204">
        <f t="shared" si="5"/>
        <v>0.14951918105676765</v>
      </c>
      <c r="O20" s="204">
        <f t="shared" si="6"/>
        <v>0.16523627339468513</v>
      </c>
      <c r="P20" s="204">
        <f t="shared" si="7"/>
        <v>0.17340502533347121</v>
      </c>
    </row>
    <row r="21" spans="1:53" ht="12.45" customHeight="1">
      <c r="A21" s="120" t="s">
        <v>176</v>
      </c>
      <c r="B21" s="105">
        <v>15057000</v>
      </c>
      <c r="C21" s="9">
        <v>18589000</v>
      </c>
      <c r="D21" s="9">
        <v>20449000</v>
      </c>
      <c r="E21" s="9">
        <v>20769000</v>
      </c>
      <c r="F21" s="9">
        <v>21946000</v>
      </c>
      <c r="G21" s="9">
        <v>22403000</v>
      </c>
      <c r="H21" s="9">
        <v>22219000</v>
      </c>
      <c r="I21" s="102">
        <f t="shared" si="0"/>
        <v>141432000</v>
      </c>
      <c r="J21" s="204">
        <f t="shared" si="1"/>
        <v>0.10646105548956389</v>
      </c>
      <c r="K21" s="204">
        <f t="shared" si="2"/>
        <v>0.13143418745404151</v>
      </c>
      <c r="L21" s="204">
        <f t="shared" si="3"/>
        <v>0.14458538378867583</v>
      </c>
      <c r="M21" s="204">
        <f t="shared" si="4"/>
        <v>0.14684795520108604</v>
      </c>
      <c r="N21" s="204">
        <f t="shared" si="5"/>
        <v>0.15516997567735732</v>
      </c>
      <c r="O21" s="204">
        <f t="shared" si="6"/>
        <v>0.15840121047570563</v>
      </c>
      <c r="P21" s="204">
        <f t="shared" si="7"/>
        <v>0.15710023191356978</v>
      </c>
      <c r="AB21" s="238" t="s">
        <v>652</v>
      </c>
      <c r="AC21" s="239">
        <v>2003</v>
      </c>
      <c r="AD21" s="239">
        <v>2010</v>
      </c>
      <c r="AE21" s="239">
        <v>2013</v>
      </c>
      <c r="AF21" s="239">
        <v>2015</v>
      </c>
      <c r="AG21" s="239">
        <v>2017</v>
      </c>
      <c r="AH21" s="239">
        <v>2019</v>
      </c>
      <c r="AI21" s="239">
        <v>2021</v>
      </c>
    </row>
    <row r="22" spans="1:53" ht="12.45" customHeight="1">
      <c r="A22" s="114" t="s">
        <v>219</v>
      </c>
      <c r="B22" s="144">
        <v>8677000</v>
      </c>
      <c r="C22" s="143">
        <v>11118000</v>
      </c>
      <c r="D22" s="143">
        <v>11728000</v>
      </c>
      <c r="E22" s="143">
        <v>12888000</v>
      </c>
      <c r="F22" s="143">
        <v>13260000</v>
      </c>
      <c r="G22" s="143">
        <v>14158000</v>
      </c>
      <c r="H22" s="143">
        <v>14688000</v>
      </c>
      <c r="I22" s="280">
        <f t="shared" si="0"/>
        <v>86517000</v>
      </c>
      <c r="J22" s="281">
        <f t="shared" si="1"/>
        <v>0.10029242807771883</v>
      </c>
      <c r="K22" s="281">
        <f t="shared" si="2"/>
        <v>0.12850653628766601</v>
      </c>
      <c r="L22" s="281">
        <f t="shared" si="3"/>
        <v>0.13555717373464174</v>
      </c>
      <c r="M22" s="281">
        <f t="shared" si="4"/>
        <v>0.14896494330593987</v>
      </c>
      <c r="N22" s="281">
        <f t="shared" si="5"/>
        <v>0.15326467630639065</v>
      </c>
      <c r="O22" s="281">
        <f t="shared" si="6"/>
        <v>0.16364413930210248</v>
      </c>
      <c r="P22" s="281">
        <f t="shared" si="7"/>
        <v>0.16977010298554041</v>
      </c>
      <c r="AB22" s="129" t="s">
        <v>661</v>
      </c>
      <c r="AC22" s="200">
        <v>15111000</v>
      </c>
      <c r="AD22" s="166">
        <v>19978000</v>
      </c>
      <c r="AE22" s="166">
        <v>22052000</v>
      </c>
      <c r="AF22" s="166">
        <v>23218000</v>
      </c>
      <c r="AG22" s="166">
        <v>24900000</v>
      </c>
      <c r="AH22" s="166">
        <v>26341000</v>
      </c>
      <c r="AI22" s="166">
        <v>26493000</v>
      </c>
    </row>
    <row r="23" spans="1:53" ht="12.45" customHeight="1">
      <c r="A23" s="115" t="s">
        <v>174</v>
      </c>
      <c r="B23" s="105">
        <v>1406000</v>
      </c>
      <c r="C23" s="9">
        <v>1644000</v>
      </c>
      <c r="D23" s="9">
        <v>1689000</v>
      </c>
      <c r="E23" s="9">
        <v>2076000</v>
      </c>
      <c r="F23" s="9">
        <v>2069000</v>
      </c>
      <c r="G23" s="9">
        <v>2286000</v>
      </c>
      <c r="H23" s="9">
        <v>2411000</v>
      </c>
      <c r="I23" s="102">
        <f t="shared" si="0"/>
        <v>13581000</v>
      </c>
      <c r="J23" s="204">
        <f t="shared" si="1"/>
        <v>0.10352698623076356</v>
      </c>
      <c r="K23" s="204">
        <f t="shared" si="2"/>
        <v>0.12105146896399381</v>
      </c>
      <c r="L23" s="204">
        <f t="shared" si="3"/>
        <v>0.12436492158162138</v>
      </c>
      <c r="M23" s="204">
        <f t="shared" si="4"/>
        <v>0.15286061409321847</v>
      </c>
      <c r="N23" s="204">
        <f t="shared" si="5"/>
        <v>0.1523451881304764</v>
      </c>
      <c r="O23" s="204">
        <f t="shared" si="6"/>
        <v>0.16832339297548046</v>
      </c>
      <c r="P23" s="204">
        <f t="shared" si="7"/>
        <v>0.1775274280244459</v>
      </c>
      <c r="AB23" s="130" t="s">
        <v>174</v>
      </c>
      <c r="AC23" s="105">
        <v>1203000</v>
      </c>
      <c r="AD23" s="9">
        <v>1486000</v>
      </c>
      <c r="AE23" s="9">
        <v>1681000</v>
      </c>
      <c r="AF23" s="9">
        <v>1818000</v>
      </c>
      <c r="AG23" s="9">
        <v>1966000</v>
      </c>
      <c r="AH23" s="9">
        <v>2193000</v>
      </c>
      <c r="AI23" s="9">
        <v>2300000</v>
      </c>
    </row>
    <row r="24" spans="1:53" ht="12.45" customHeight="1">
      <c r="A24" s="186" t="s">
        <v>227</v>
      </c>
      <c r="B24" s="105">
        <v>94000</v>
      </c>
      <c r="C24" s="9">
        <v>152000</v>
      </c>
      <c r="D24" s="9">
        <v>158000</v>
      </c>
      <c r="E24" s="9">
        <v>169000</v>
      </c>
      <c r="F24" s="9">
        <v>149000</v>
      </c>
      <c r="G24" s="9">
        <v>152000</v>
      </c>
      <c r="H24" s="9">
        <v>188000</v>
      </c>
      <c r="I24" s="102">
        <f t="shared" si="0"/>
        <v>1062000</v>
      </c>
      <c r="J24" s="204">
        <f t="shared" si="1"/>
        <v>8.851224105461393E-2</v>
      </c>
      <c r="K24" s="204">
        <f t="shared" si="2"/>
        <v>0.1431261770244821</v>
      </c>
      <c r="L24" s="204">
        <f t="shared" si="3"/>
        <v>0.1487758945386064</v>
      </c>
      <c r="M24" s="204">
        <f t="shared" si="4"/>
        <v>0.1591337099811676</v>
      </c>
      <c r="N24" s="204">
        <f t="shared" si="5"/>
        <v>0.14030131826741996</v>
      </c>
      <c r="O24" s="204">
        <f t="shared" si="6"/>
        <v>0.1431261770244821</v>
      </c>
      <c r="P24" s="204">
        <f t="shared" si="7"/>
        <v>0.17702448210922786</v>
      </c>
      <c r="AB24" s="130" t="s">
        <v>175</v>
      </c>
      <c r="AC24" s="105">
        <v>2814000</v>
      </c>
      <c r="AD24" s="9">
        <v>3877000</v>
      </c>
      <c r="AE24" s="9">
        <v>4223000</v>
      </c>
      <c r="AF24" s="9">
        <v>4558000</v>
      </c>
      <c r="AG24" s="9">
        <v>4764000</v>
      </c>
      <c r="AH24" s="9">
        <v>5109000</v>
      </c>
      <c r="AI24" s="9">
        <v>5494000</v>
      </c>
    </row>
    <row r="25" spans="1:53" ht="12.45" customHeight="1">
      <c r="A25" s="116" t="s">
        <v>228</v>
      </c>
      <c r="B25" s="105">
        <v>581000</v>
      </c>
      <c r="C25" s="9">
        <v>717000</v>
      </c>
      <c r="D25" s="9">
        <v>744000</v>
      </c>
      <c r="E25" s="9">
        <v>1048000</v>
      </c>
      <c r="F25" s="9">
        <v>1039000</v>
      </c>
      <c r="G25" s="9">
        <v>1168000</v>
      </c>
      <c r="H25" s="9">
        <v>1251000</v>
      </c>
      <c r="I25" s="102">
        <f t="shared" si="0"/>
        <v>6548000</v>
      </c>
      <c r="J25" s="204">
        <f t="shared" si="1"/>
        <v>8.8729383017715338E-2</v>
      </c>
      <c r="K25" s="204">
        <f t="shared" si="2"/>
        <v>0.10949908368967624</v>
      </c>
      <c r="L25" s="204">
        <f t="shared" si="3"/>
        <v>0.11362248014660965</v>
      </c>
      <c r="M25" s="204">
        <f t="shared" si="4"/>
        <v>0.16004886988393402</v>
      </c>
      <c r="N25" s="204">
        <f t="shared" si="5"/>
        <v>0.15867440439828956</v>
      </c>
      <c r="O25" s="204">
        <f t="shared" si="6"/>
        <v>0.17837507635919364</v>
      </c>
      <c r="P25" s="204">
        <f t="shared" si="7"/>
        <v>0.19105070250458156</v>
      </c>
      <c r="AB25" s="130" t="s">
        <v>176</v>
      </c>
      <c r="AC25" s="105">
        <v>11094000</v>
      </c>
      <c r="AD25" s="9">
        <v>14615000</v>
      </c>
      <c r="AE25" s="9">
        <v>16147000</v>
      </c>
      <c r="AF25" s="9">
        <v>16842000</v>
      </c>
      <c r="AG25" s="9">
        <v>18170000</v>
      </c>
      <c r="AH25" s="9">
        <v>19040000</v>
      </c>
      <c r="AI25" s="9">
        <v>18699000</v>
      </c>
    </row>
    <row r="26" spans="1:53" ht="12.45" customHeight="1">
      <c r="A26" s="116" t="s">
        <v>229</v>
      </c>
      <c r="B26" s="105">
        <v>82000</v>
      </c>
      <c r="C26" s="9">
        <v>87000</v>
      </c>
      <c r="D26" s="9">
        <v>83000</v>
      </c>
      <c r="E26" s="9">
        <v>85000</v>
      </c>
      <c r="F26" s="9">
        <v>98000</v>
      </c>
      <c r="G26" s="9">
        <v>97000</v>
      </c>
      <c r="H26" s="9">
        <v>105000</v>
      </c>
      <c r="I26" s="102">
        <f t="shared" si="0"/>
        <v>637000</v>
      </c>
      <c r="J26" s="204">
        <f t="shared" si="1"/>
        <v>0.12872841444270017</v>
      </c>
      <c r="K26" s="204">
        <f t="shared" si="2"/>
        <v>0.13657770800627944</v>
      </c>
      <c r="L26" s="204">
        <f t="shared" si="3"/>
        <v>0.13029827315541601</v>
      </c>
      <c r="M26" s="204">
        <f t="shared" si="4"/>
        <v>0.13343799058084774</v>
      </c>
      <c r="N26" s="204">
        <f t="shared" si="5"/>
        <v>0.15384615384615385</v>
      </c>
      <c r="O26" s="204">
        <f t="shared" si="6"/>
        <v>0.15227629513343799</v>
      </c>
      <c r="P26" s="204">
        <f t="shared" si="7"/>
        <v>0.16483516483516483</v>
      </c>
      <c r="AB26" s="120" t="s">
        <v>662</v>
      </c>
      <c r="AC26" s="124">
        <v>9522000</v>
      </c>
      <c r="AD26" s="119">
        <v>12592000</v>
      </c>
      <c r="AE26" s="119">
        <v>13904000</v>
      </c>
      <c r="AF26" s="119">
        <v>14206000</v>
      </c>
      <c r="AG26" s="119">
        <v>15524000</v>
      </c>
      <c r="AH26" s="119">
        <v>16021000</v>
      </c>
      <c r="AI26" s="119">
        <v>15827000</v>
      </c>
    </row>
    <row r="27" spans="1:53" ht="12.45" customHeight="1">
      <c r="A27" s="116" t="s">
        <v>230</v>
      </c>
      <c r="B27" s="105">
        <v>205000</v>
      </c>
      <c r="C27" s="9">
        <v>218000</v>
      </c>
      <c r="D27" s="9">
        <v>249000</v>
      </c>
      <c r="E27" s="9">
        <v>249000</v>
      </c>
      <c r="F27" s="9">
        <v>235000</v>
      </c>
      <c r="G27" s="9">
        <v>249000</v>
      </c>
      <c r="H27" s="9">
        <v>283000</v>
      </c>
      <c r="I27" s="102">
        <f t="shared" si="0"/>
        <v>1688000</v>
      </c>
      <c r="J27" s="204">
        <f t="shared" si="1"/>
        <v>0.12144549763033176</v>
      </c>
      <c r="K27" s="204">
        <f t="shared" si="2"/>
        <v>0.12914691943127962</v>
      </c>
      <c r="L27" s="204">
        <f t="shared" si="3"/>
        <v>0.14751184834123224</v>
      </c>
      <c r="M27" s="204">
        <f t="shared" si="4"/>
        <v>0.14751184834123224</v>
      </c>
      <c r="N27" s="204">
        <f t="shared" si="5"/>
        <v>0.13921800947867299</v>
      </c>
      <c r="O27" s="204">
        <f t="shared" si="6"/>
        <v>0.14751184834123224</v>
      </c>
      <c r="P27" s="204">
        <f t="shared" si="7"/>
        <v>0.16765402843601895</v>
      </c>
      <c r="AB27" s="121" t="s">
        <v>174</v>
      </c>
      <c r="AC27" s="105">
        <v>605000</v>
      </c>
      <c r="AD27" s="9">
        <v>720000</v>
      </c>
      <c r="AE27" s="9">
        <v>832000</v>
      </c>
      <c r="AF27" s="9">
        <v>818000</v>
      </c>
      <c r="AG27" s="9">
        <v>979000</v>
      </c>
      <c r="AH27" s="9">
        <v>1034000</v>
      </c>
      <c r="AI27" s="9">
        <v>1099000</v>
      </c>
    </row>
    <row r="28" spans="1:53" ht="12.45" customHeight="1">
      <c r="A28" s="116" t="s">
        <v>231</v>
      </c>
      <c r="B28" s="105">
        <v>443000</v>
      </c>
      <c r="C28" s="9">
        <v>472000</v>
      </c>
      <c r="D28" s="9">
        <v>456000</v>
      </c>
      <c r="E28" s="9">
        <v>525000</v>
      </c>
      <c r="F28" s="9">
        <v>548000</v>
      </c>
      <c r="G28" s="9">
        <v>619000</v>
      </c>
      <c r="H28" s="9">
        <v>584000</v>
      </c>
      <c r="I28" s="102">
        <f t="shared" si="0"/>
        <v>3647000</v>
      </c>
      <c r="J28" s="204">
        <f t="shared" si="1"/>
        <v>0.12146970112421168</v>
      </c>
      <c r="K28" s="204">
        <f t="shared" si="2"/>
        <v>0.12942144228132713</v>
      </c>
      <c r="L28" s="204">
        <f t="shared" si="3"/>
        <v>0.12503427474636689</v>
      </c>
      <c r="M28" s="204">
        <f t="shared" si="4"/>
        <v>0.14395393474088292</v>
      </c>
      <c r="N28" s="204">
        <f t="shared" si="5"/>
        <v>0.15026048807238826</v>
      </c>
      <c r="O28" s="204">
        <f t="shared" si="6"/>
        <v>0.16972854400877432</v>
      </c>
      <c r="P28" s="204">
        <f t="shared" si="7"/>
        <v>0.16013161502604881</v>
      </c>
      <c r="AB28" s="121" t="s">
        <v>175</v>
      </c>
      <c r="AC28" s="105">
        <v>1719000</v>
      </c>
      <c r="AD28" s="9">
        <v>2335000</v>
      </c>
      <c r="AE28" s="9">
        <v>2494000</v>
      </c>
      <c r="AF28" s="9">
        <v>2567000</v>
      </c>
      <c r="AG28" s="9">
        <v>2654000</v>
      </c>
      <c r="AH28" s="9">
        <v>2845000</v>
      </c>
      <c r="AI28" s="9">
        <v>3044000</v>
      </c>
      <c r="AK28" s="238" t="s">
        <v>652</v>
      </c>
      <c r="AL28" s="239">
        <v>2003</v>
      </c>
      <c r="AM28" s="239">
        <v>2010</v>
      </c>
      <c r="AN28" s="239">
        <v>2013</v>
      </c>
      <c r="AO28" s="239">
        <v>2015</v>
      </c>
      <c r="AP28" s="239">
        <v>2017</v>
      </c>
      <c r="AQ28" s="239">
        <v>2019</v>
      </c>
      <c r="AR28" s="239">
        <v>2021</v>
      </c>
    </row>
    <row r="29" spans="1:53" ht="12.45" customHeight="1">
      <c r="A29" s="115" t="s">
        <v>175</v>
      </c>
      <c r="B29" s="105">
        <v>1208000</v>
      </c>
      <c r="C29" s="9">
        <v>1765000</v>
      </c>
      <c r="D29" s="9">
        <v>1945000</v>
      </c>
      <c r="E29" s="9">
        <v>2064000</v>
      </c>
      <c r="F29" s="9">
        <v>2262000</v>
      </c>
      <c r="G29" s="9">
        <v>2332000</v>
      </c>
      <c r="H29" s="9">
        <v>2578000</v>
      </c>
      <c r="I29" s="102">
        <f t="shared" si="0"/>
        <v>14154000</v>
      </c>
      <c r="J29" s="204">
        <f t="shared" si="1"/>
        <v>8.5346898403278221E-2</v>
      </c>
      <c r="K29" s="204">
        <f t="shared" si="2"/>
        <v>0.12469973152465734</v>
      </c>
      <c r="L29" s="204">
        <f t="shared" si="3"/>
        <v>0.13741698459799351</v>
      </c>
      <c r="M29" s="204">
        <f t="shared" si="4"/>
        <v>0.14582450190758797</v>
      </c>
      <c r="N29" s="204">
        <f t="shared" si="5"/>
        <v>0.15981348028825773</v>
      </c>
      <c r="O29" s="204">
        <f t="shared" si="6"/>
        <v>0.16475907870566625</v>
      </c>
      <c r="P29" s="204">
        <f t="shared" si="7"/>
        <v>0.18213932457255899</v>
      </c>
      <c r="AB29" s="121" t="s">
        <v>176</v>
      </c>
      <c r="AC29" s="105">
        <v>7198000</v>
      </c>
      <c r="AD29" s="9">
        <v>9538000</v>
      </c>
      <c r="AE29" s="9">
        <v>10579000</v>
      </c>
      <c r="AF29" s="9">
        <v>10821000</v>
      </c>
      <c r="AG29" s="9">
        <v>11891000</v>
      </c>
      <c r="AH29" s="9">
        <v>12142000</v>
      </c>
      <c r="AI29" s="9">
        <v>11685000</v>
      </c>
      <c r="AK29" s="129" t="s">
        <v>661</v>
      </c>
      <c r="AL29" s="200">
        <v>15111000</v>
      </c>
      <c r="AM29" s="166">
        <v>19978000</v>
      </c>
      <c r="AN29" s="166">
        <v>22052000</v>
      </c>
      <c r="AO29" s="166">
        <v>23218000</v>
      </c>
      <c r="AP29" s="166">
        <v>24900000</v>
      </c>
      <c r="AQ29" s="166">
        <v>26341000</v>
      </c>
      <c r="AR29" s="166">
        <v>26493000</v>
      </c>
      <c r="AT29" s="238" t="s">
        <v>652</v>
      </c>
      <c r="AU29" s="239">
        <v>2003</v>
      </c>
      <c r="AV29" s="239">
        <v>2010</v>
      </c>
      <c r="AW29" s="239">
        <v>2013</v>
      </c>
      <c r="AX29" s="239">
        <v>2015</v>
      </c>
      <c r="AY29" s="239">
        <v>2017</v>
      </c>
      <c r="AZ29" s="239">
        <v>2019</v>
      </c>
      <c r="BA29" s="239">
        <v>2021</v>
      </c>
    </row>
    <row r="30" spans="1:53" ht="12.45" customHeight="1">
      <c r="A30" s="115" t="s">
        <v>176</v>
      </c>
      <c r="B30" s="105">
        <v>6063000</v>
      </c>
      <c r="C30" s="9">
        <v>7709000</v>
      </c>
      <c r="D30" s="9">
        <v>8093000</v>
      </c>
      <c r="E30" s="9">
        <v>8749000</v>
      </c>
      <c r="F30" s="9">
        <v>8929000</v>
      </c>
      <c r="G30" s="9">
        <v>9540000</v>
      </c>
      <c r="H30" s="9">
        <v>9699000</v>
      </c>
      <c r="I30" s="102">
        <f t="shared" si="0"/>
        <v>58782000</v>
      </c>
      <c r="J30" s="204">
        <f t="shared" si="1"/>
        <v>0.10314381953659284</v>
      </c>
      <c r="K30" s="204">
        <f t="shared" si="2"/>
        <v>0.13114558878568269</v>
      </c>
      <c r="L30" s="204">
        <f t="shared" si="3"/>
        <v>0.13767820080977169</v>
      </c>
      <c r="M30" s="204">
        <f t="shared" si="4"/>
        <v>0.14883807968425708</v>
      </c>
      <c r="N30" s="204">
        <f t="shared" si="5"/>
        <v>0.15190024157054879</v>
      </c>
      <c r="O30" s="204">
        <f t="shared" si="6"/>
        <v>0.16229457997346125</v>
      </c>
      <c r="P30" s="204">
        <f t="shared" si="7"/>
        <v>0.16499948963968561</v>
      </c>
      <c r="AB30" s="115" t="s">
        <v>663</v>
      </c>
      <c r="AC30" s="144">
        <v>4431000</v>
      </c>
      <c r="AD30" s="143">
        <v>5838000</v>
      </c>
      <c r="AE30" s="143">
        <v>6479000</v>
      </c>
      <c r="AF30" s="143">
        <v>7196000</v>
      </c>
      <c r="AG30" s="143">
        <v>7359000</v>
      </c>
      <c r="AH30" s="143">
        <v>8141000</v>
      </c>
      <c r="AI30" s="143">
        <v>8314000</v>
      </c>
      <c r="AK30" s="120" t="s">
        <v>662</v>
      </c>
      <c r="AL30" s="124">
        <v>9522000</v>
      </c>
      <c r="AM30" s="119">
        <v>12592000</v>
      </c>
      <c r="AN30" s="119">
        <v>13904000</v>
      </c>
      <c r="AO30" s="119">
        <v>14206000</v>
      </c>
      <c r="AP30" s="119">
        <v>15524000</v>
      </c>
      <c r="AQ30" s="119">
        <v>16021000</v>
      </c>
      <c r="AR30" s="119">
        <v>15827000</v>
      </c>
      <c r="AT30" s="128" t="s">
        <v>656</v>
      </c>
      <c r="AU30" s="127">
        <v>32574000</v>
      </c>
      <c r="AV30" s="126">
        <v>40623000</v>
      </c>
      <c r="AW30" s="126">
        <v>43839000</v>
      </c>
      <c r="AX30" s="126">
        <v>45941000</v>
      </c>
      <c r="AY30" s="126">
        <v>48223000</v>
      </c>
      <c r="AZ30" s="126">
        <v>50524000</v>
      </c>
      <c r="BA30" s="126">
        <v>51764000</v>
      </c>
    </row>
    <row r="31" spans="1:53" ht="12.45" customHeight="1">
      <c r="A31" s="135" t="s">
        <v>221</v>
      </c>
      <c r="B31" s="136">
        <v>1271000</v>
      </c>
      <c r="C31" s="137">
        <v>1500000</v>
      </c>
      <c r="D31" s="137">
        <v>1551000</v>
      </c>
      <c r="E31" s="137">
        <v>1641000</v>
      </c>
      <c r="F31" s="137">
        <v>1796000</v>
      </c>
      <c r="G31" s="137">
        <v>2090000</v>
      </c>
      <c r="H31" s="137">
        <v>2141000</v>
      </c>
      <c r="I31" s="282">
        <f t="shared" si="0"/>
        <v>11990000</v>
      </c>
      <c r="J31" s="283">
        <f t="shared" si="1"/>
        <v>0.10600500417014179</v>
      </c>
      <c r="K31" s="283">
        <f t="shared" si="2"/>
        <v>0.12510425354462051</v>
      </c>
      <c r="L31" s="283">
        <f t="shared" si="3"/>
        <v>0.12935779816513762</v>
      </c>
      <c r="M31" s="283">
        <f t="shared" si="4"/>
        <v>0.13686405337781485</v>
      </c>
      <c r="N31" s="283">
        <f t="shared" si="5"/>
        <v>0.14979149291075897</v>
      </c>
      <c r="O31" s="283">
        <f t="shared" si="6"/>
        <v>0.1743119266055046</v>
      </c>
      <c r="P31" s="283">
        <f t="shared" si="7"/>
        <v>0.17856547122602168</v>
      </c>
      <c r="AB31" s="116" t="s">
        <v>174</v>
      </c>
      <c r="AC31" s="105">
        <v>407000</v>
      </c>
      <c r="AD31" s="9">
        <v>516000</v>
      </c>
      <c r="AE31" s="9">
        <v>575000</v>
      </c>
      <c r="AF31" s="9">
        <v>708000</v>
      </c>
      <c r="AG31" s="9">
        <v>670000</v>
      </c>
      <c r="AH31" s="9">
        <v>757000</v>
      </c>
      <c r="AI31" s="9">
        <v>816000</v>
      </c>
      <c r="AK31" s="115" t="s">
        <v>663</v>
      </c>
      <c r="AL31" s="144">
        <v>4431000</v>
      </c>
      <c r="AM31" s="143">
        <v>5838000</v>
      </c>
      <c r="AN31" s="143">
        <v>6479000</v>
      </c>
      <c r="AO31" s="143">
        <v>7196000</v>
      </c>
      <c r="AP31" s="143">
        <v>7359000</v>
      </c>
      <c r="AQ31" s="143">
        <v>8141000</v>
      </c>
      <c r="AR31" s="143">
        <v>8314000</v>
      </c>
      <c r="AT31" s="125" t="s">
        <v>218</v>
      </c>
      <c r="AU31" s="124">
        <v>20365000</v>
      </c>
      <c r="AV31" s="119">
        <v>25354000</v>
      </c>
      <c r="AW31" s="119">
        <v>27802000</v>
      </c>
      <c r="AX31" s="119">
        <v>28509000</v>
      </c>
      <c r="AY31" s="119">
        <v>30131000</v>
      </c>
      <c r="AZ31" s="119">
        <v>31373000</v>
      </c>
      <c r="BA31" s="119">
        <v>31688000</v>
      </c>
    </row>
    <row r="32" spans="1:53" ht="12.45" customHeight="1">
      <c r="A32" s="138" t="s">
        <v>174</v>
      </c>
      <c r="B32" s="105">
        <v>605000</v>
      </c>
      <c r="C32" s="9">
        <v>692000</v>
      </c>
      <c r="D32" s="9">
        <v>724000</v>
      </c>
      <c r="E32" s="9">
        <v>751000</v>
      </c>
      <c r="F32" s="9">
        <v>786000</v>
      </c>
      <c r="G32" s="9">
        <v>938000</v>
      </c>
      <c r="H32" s="9">
        <v>962000</v>
      </c>
      <c r="I32" s="102">
        <f t="shared" si="0"/>
        <v>5458000</v>
      </c>
      <c r="J32" s="204">
        <f t="shared" si="1"/>
        <v>0.11084646390619274</v>
      </c>
      <c r="K32" s="204">
        <f t="shared" si="2"/>
        <v>0.12678636863319898</v>
      </c>
      <c r="L32" s="204">
        <f t="shared" si="3"/>
        <v>0.13264932209600586</v>
      </c>
      <c r="M32" s="204">
        <f t="shared" si="4"/>
        <v>0.13759618908024918</v>
      </c>
      <c r="N32" s="204">
        <f t="shared" si="5"/>
        <v>0.14400879443019421</v>
      </c>
      <c r="O32" s="204">
        <f t="shared" si="6"/>
        <v>0.17185782337852692</v>
      </c>
      <c r="P32" s="204">
        <f t="shared" si="7"/>
        <v>0.17625503847563209</v>
      </c>
      <c r="AB32" s="116" t="s">
        <v>175</v>
      </c>
      <c r="AC32" s="105">
        <v>729000</v>
      </c>
      <c r="AD32" s="9">
        <v>1043000</v>
      </c>
      <c r="AE32" s="9">
        <v>1156000</v>
      </c>
      <c r="AF32" s="9">
        <v>1338000</v>
      </c>
      <c r="AG32" s="9">
        <v>1405000</v>
      </c>
      <c r="AH32" s="9">
        <v>1469000</v>
      </c>
      <c r="AI32" s="9">
        <v>1580000</v>
      </c>
      <c r="AK32" s="138" t="s">
        <v>664</v>
      </c>
      <c r="AL32" s="136">
        <v>422000</v>
      </c>
      <c r="AM32" s="137">
        <v>521000</v>
      </c>
      <c r="AN32" s="137">
        <v>597000</v>
      </c>
      <c r="AO32" s="137">
        <v>646000</v>
      </c>
      <c r="AP32" s="137">
        <v>734000</v>
      </c>
      <c r="AQ32" s="137">
        <v>900000</v>
      </c>
      <c r="AR32" s="137">
        <v>887000</v>
      </c>
      <c r="AT32" s="114" t="s">
        <v>219</v>
      </c>
      <c r="AU32" s="144">
        <v>8677000</v>
      </c>
      <c r="AV32" s="143">
        <v>11118000</v>
      </c>
      <c r="AW32" s="143">
        <v>11728000</v>
      </c>
      <c r="AX32" s="143">
        <v>12888000</v>
      </c>
      <c r="AY32" s="143">
        <v>13260000</v>
      </c>
      <c r="AZ32" s="143">
        <v>14158000</v>
      </c>
      <c r="BA32" s="143">
        <v>14688000</v>
      </c>
    </row>
    <row r="33" spans="1:53" ht="12.45" customHeight="1">
      <c r="A33" s="150" t="s">
        <v>227</v>
      </c>
      <c r="B33" s="105">
        <v>164000</v>
      </c>
      <c r="C33" s="9">
        <v>199000</v>
      </c>
      <c r="D33" s="9">
        <v>202000</v>
      </c>
      <c r="E33" s="9">
        <v>207000</v>
      </c>
      <c r="F33" s="9">
        <v>217000</v>
      </c>
      <c r="G33" s="9">
        <v>254000</v>
      </c>
      <c r="H33" s="9">
        <v>291000</v>
      </c>
      <c r="I33" s="102">
        <f t="shared" si="0"/>
        <v>1534000</v>
      </c>
      <c r="J33" s="204">
        <f t="shared" si="1"/>
        <v>0.10691003911342895</v>
      </c>
      <c r="K33" s="204">
        <f t="shared" si="2"/>
        <v>0.12972620599739243</v>
      </c>
      <c r="L33" s="204">
        <f t="shared" si="3"/>
        <v>0.13168187744458931</v>
      </c>
      <c r="M33" s="204">
        <f t="shared" si="4"/>
        <v>0.13494132985658408</v>
      </c>
      <c r="N33" s="204">
        <f t="shared" si="5"/>
        <v>0.14146023468057367</v>
      </c>
      <c r="O33" s="204">
        <f t="shared" si="6"/>
        <v>0.16558018252933507</v>
      </c>
      <c r="P33" s="204">
        <f t="shared" si="7"/>
        <v>0.18970013037809649</v>
      </c>
      <c r="AB33" s="116" t="s">
        <v>176</v>
      </c>
      <c r="AC33" s="105">
        <v>3295000</v>
      </c>
      <c r="AD33" s="9">
        <v>4279000</v>
      </c>
      <c r="AE33" s="9">
        <v>4748000</v>
      </c>
      <c r="AF33" s="9">
        <v>5150000</v>
      </c>
      <c r="AG33" s="9">
        <v>5284000</v>
      </c>
      <c r="AH33" s="9">
        <v>5915000</v>
      </c>
      <c r="AI33" s="9">
        <v>5918000</v>
      </c>
      <c r="AT33" s="135" t="s">
        <v>221</v>
      </c>
      <c r="AU33" s="136">
        <v>1271000</v>
      </c>
      <c r="AV33" s="137">
        <v>1500000</v>
      </c>
      <c r="AW33" s="137">
        <v>1551000</v>
      </c>
      <c r="AX33" s="137">
        <v>1641000</v>
      </c>
      <c r="AY33" s="137">
        <v>1796000</v>
      </c>
      <c r="AZ33" s="137">
        <v>2090000</v>
      </c>
      <c r="BA33" s="137">
        <v>2141000</v>
      </c>
    </row>
    <row r="34" spans="1:53" ht="12.45" customHeight="1">
      <c r="A34" s="139" t="s">
        <v>228</v>
      </c>
      <c r="B34" s="105">
        <v>95000</v>
      </c>
      <c r="C34" s="9">
        <v>108000</v>
      </c>
      <c r="D34" s="9">
        <v>112000</v>
      </c>
      <c r="E34" s="9">
        <v>117000</v>
      </c>
      <c r="F34" s="9">
        <v>150000</v>
      </c>
      <c r="G34" s="9">
        <v>189000</v>
      </c>
      <c r="H34" s="9">
        <v>185000</v>
      </c>
      <c r="I34" s="102">
        <f t="shared" si="0"/>
        <v>956000</v>
      </c>
      <c r="J34" s="204">
        <f t="shared" si="1"/>
        <v>9.9372384937238489E-2</v>
      </c>
      <c r="K34" s="204">
        <f t="shared" si="2"/>
        <v>0.11297071129707113</v>
      </c>
      <c r="L34" s="204">
        <f t="shared" si="3"/>
        <v>0.11715481171548117</v>
      </c>
      <c r="M34" s="204">
        <f t="shared" si="4"/>
        <v>0.12238493723849372</v>
      </c>
      <c r="N34" s="204">
        <f t="shared" si="5"/>
        <v>0.15690376569037656</v>
      </c>
      <c r="O34" s="204">
        <f t="shared" si="6"/>
        <v>0.19769874476987448</v>
      </c>
      <c r="P34" s="204">
        <f t="shared" si="7"/>
        <v>0.19351464435146443</v>
      </c>
      <c r="AB34" s="138" t="s">
        <v>664</v>
      </c>
      <c r="AC34" s="136">
        <v>422000</v>
      </c>
      <c r="AD34" s="137">
        <v>521000</v>
      </c>
      <c r="AE34" s="137">
        <v>597000</v>
      </c>
      <c r="AF34" s="137">
        <v>646000</v>
      </c>
      <c r="AG34" s="137">
        <v>734000</v>
      </c>
      <c r="AH34" s="137">
        <v>900000</v>
      </c>
      <c r="AI34" s="137">
        <v>887000</v>
      </c>
      <c r="AT34" s="129" t="s">
        <v>661</v>
      </c>
      <c r="AU34" s="200">
        <v>15111000</v>
      </c>
      <c r="AV34" s="166">
        <v>19978000</v>
      </c>
      <c r="AW34" s="166">
        <v>22052000</v>
      </c>
      <c r="AX34" s="166">
        <v>23218000</v>
      </c>
      <c r="AY34" s="166">
        <v>24900000</v>
      </c>
      <c r="AZ34" s="166">
        <v>26341000</v>
      </c>
      <c r="BA34" s="166">
        <v>26493000</v>
      </c>
    </row>
    <row r="35" spans="1:53" ht="12.45" customHeight="1">
      <c r="A35" s="139" t="s">
        <v>229</v>
      </c>
      <c r="B35" s="105">
        <v>94000</v>
      </c>
      <c r="C35" s="9">
        <v>114000</v>
      </c>
      <c r="D35" s="9">
        <v>112000</v>
      </c>
      <c r="E35" s="9">
        <v>119000</v>
      </c>
      <c r="F35" s="9">
        <v>101000</v>
      </c>
      <c r="G35" s="9">
        <v>121000</v>
      </c>
      <c r="H35" s="9">
        <v>125000</v>
      </c>
      <c r="I35" s="102">
        <f t="shared" si="0"/>
        <v>786000</v>
      </c>
      <c r="J35" s="204">
        <f t="shared" si="1"/>
        <v>0.11959287531806616</v>
      </c>
      <c r="K35" s="204">
        <f t="shared" si="2"/>
        <v>0.14503816793893129</v>
      </c>
      <c r="L35" s="204">
        <f t="shared" si="3"/>
        <v>0.14249363867684478</v>
      </c>
      <c r="M35" s="204">
        <f t="shared" si="4"/>
        <v>0.15139949109414758</v>
      </c>
      <c r="N35" s="204">
        <f t="shared" si="5"/>
        <v>0.12849872773536897</v>
      </c>
      <c r="O35" s="204">
        <f t="shared" si="6"/>
        <v>0.15394402035623408</v>
      </c>
      <c r="P35" s="204">
        <f t="shared" si="7"/>
        <v>0.15903307888040713</v>
      </c>
      <c r="AB35" s="139" t="s">
        <v>174</v>
      </c>
      <c r="AC35" s="105">
        <v>170000</v>
      </c>
      <c r="AD35" s="9">
        <v>215000</v>
      </c>
      <c r="AE35" s="9">
        <v>239000</v>
      </c>
      <c r="AF35" s="9">
        <v>261000</v>
      </c>
      <c r="AG35" s="9">
        <v>279000</v>
      </c>
      <c r="AH35" s="9">
        <v>365000</v>
      </c>
      <c r="AI35" s="9">
        <v>343000</v>
      </c>
      <c r="AT35" s="120" t="s">
        <v>662</v>
      </c>
      <c r="AU35" s="124">
        <v>9522000</v>
      </c>
      <c r="AV35" s="119">
        <v>12592000</v>
      </c>
      <c r="AW35" s="119">
        <v>13904000</v>
      </c>
      <c r="AX35" s="119">
        <v>14206000</v>
      </c>
      <c r="AY35" s="119">
        <v>15524000</v>
      </c>
      <c r="AZ35" s="119">
        <v>16021000</v>
      </c>
      <c r="BA35" s="119">
        <v>15827000</v>
      </c>
    </row>
    <row r="36" spans="1:53" ht="12.45" customHeight="1">
      <c r="A36" s="139" t="s">
        <v>230</v>
      </c>
      <c r="B36" s="105">
        <v>154000</v>
      </c>
      <c r="C36" s="9">
        <v>173000</v>
      </c>
      <c r="D36" s="9">
        <v>190000</v>
      </c>
      <c r="E36" s="9">
        <v>201000</v>
      </c>
      <c r="F36" s="9">
        <v>201000</v>
      </c>
      <c r="G36" s="9">
        <v>235000</v>
      </c>
      <c r="H36" s="9">
        <v>221000</v>
      </c>
      <c r="I36" s="102">
        <f t="shared" si="0"/>
        <v>1375000</v>
      </c>
      <c r="J36" s="204">
        <f t="shared" si="1"/>
        <v>0.112</v>
      </c>
      <c r="K36" s="204">
        <f t="shared" si="2"/>
        <v>0.12581818181818183</v>
      </c>
      <c r="L36" s="204">
        <f t="shared" si="3"/>
        <v>0.13818181818181818</v>
      </c>
      <c r="M36" s="204">
        <f t="shared" si="4"/>
        <v>0.14618181818181819</v>
      </c>
      <c r="N36" s="204">
        <f t="shared" si="5"/>
        <v>0.14618181818181819</v>
      </c>
      <c r="O36" s="204">
        <f t="shared" si="6"/>
        <v>0.1709090909090909</v>
      </c>
      <c r="P36" s="204">
        <f t="shared" si="7"/>
        <v>0.16072727272727272</v>
      </c>
      <c r="AB36" s="139" t="s">
        <v>175</v>
      </c>
      <c r="AC36" s="105">
        <v>51000</v>
      </c>
      <c r="AD36" s="9">
        <v>86000</v>
      </c>
      <c r="AE36" s="9">
        <v>100000</v>
      </c>
      <c r="AF36" s="9">
        <v>107000</v>
      </c>
      <c r="AG36" s="9">
        <v>126000</v>
      </c>
      <c r="AH36" s="9">
        <v>188000</v>
      </c>
      <c r="AI36" s="9">
        <v>197000</v>
      </c>
      <c r="AT36" s="115" t="s">
        <v>663</v>
      </c>
      <c r="AU36" s="144">
        <v>4431000</v>
      </c>
      <c r="AV36" s="143">
        <v>5838000</v>
      </c>
      <c r="AW36" s="143">
        <v>6479000</v>
      </c>
      <c r="AX36" s="143">
        <v>7196000</v>
      </c>
      <c r="AY36" s="143">
        <v>7359000</v>
      </c>
      <c r="AZ36" s="143">
        <v>8141000</v>
      </c>
      <c r="BA36" s="143">
        <v>8314000</v>
      </c>
    </row>
    <row r="37" spans="1:53" ht="12.45" customHeight="1">
      <c r="A37" s="139" t="s">
        <v>231</v>
      </c>
      <c r="B37" s="105">
        <v>97000</v>
      </c>
      <c r="C37" s="9">
        <v>97000</v>
      </c>
      <c r="D37" s="9">
        <v>108000</v>
      </c>
      <c r="E37" s="9">
        <v>107000</v>
      </c>
      <c r="F37" s="9">
        <v>116000</v>
      </c>
      <c r="G37" s="9">
        <v>139000</v>
      </c>
      <c r="H37" s="9">
        <v>141000</v>
      </c>
      <c r="I37" s="102">
        <f t="shared" si="0"/>
        <v>805000</v>
      </c>
      <c r="J37" s="204">
        <f t="shared" si="1"/>
        <v>0.12049689440993788</v>
      </c>
      <c r="K37" s="204">
        <f t="shared" si="2"/>
        <v>0.12049689440993788</v>
      </c>
      <c r="L37" s="204">
        <f t="shared" si="3"/>
        <v>0.1341614906832298</v>
      </c>
      <c r="M37" s="204">
        <f t="shared" si="4"/>
        <v>0.13291925465838508</v>
      </c>
      <c r="N37" s="204">
        <f t="shared" si="5"/>
        <v>0.14409937888198757</v>
      </c>
      <c r="O37" s="204">
        <f t="shared" si="6"/>
        <v>0.17267080745341615</v>
      </c>
      <c r="P37" s="204">
        <f t="shared" si="7"/>
        <v>0.17515527950310558</v>
      </c>
      <c r="AB37" s="139" t="s">
        <v>176</v>
      </c>
      <c r="AC37" s="105">
        <v>200000</v>
      </c>
      <c r="AD37" s="9">
        <v>220000</v>
      </c>
      <c r="AE37" s="9">
        <v>258000</v>
      </c>
      <c r="AF37" s="9">
        <v>278000</v>
      </c>
      <c r="AG37" s="9">
        <v>328000</v>
      </c>
      <c r="AH37" s="9">
        <v>346000</v>
      </c>
      <c r="AI37" s="9">
        <v>347000</v>
      </c>
      <c r="AT37" s="138" t="s">
        <v>664</v>
      </c>
      <c r="AU37" s="136">
        <v>422000</v>
      </c>
      <c r="AV37" s="137">
        <v>521000</v>
      </c>
      <c r="AW37" s="137">
        <v>597000</v>
      </c>
      <c r="AX37" s="137">
        <v>646000</v>
      </c>
      <c r="AY37" s="137">
        <v>734000</v>
      </c>
      <c r="AZ37" s="137">
        <v>900000</v>
      </c>
      <c r="BA37" s="137">
        <v>887000</v>
      </c>
    </row>
    <row r="38" spans="1:53" ht="12.45" customHeight="1">
      <c r="A38" s="138" t="s">
        <v>175</v>
      </c>
      <c r="B38" s="105">
        <v>123000</v>
      </c>
      <c r="C38" s="9">
        <v>224000</v>
      </c>
      <c r="D38" s="9">
        <v>236000</v>
      </c>
      <c r="E38" s="9">
        <v>229000</v>
      </c>
      <c r="F38" s="9">
        <v>267000</v>
      </c>
      <c r="G38" s="9">
        <v>387000</v>
      </c>
      <c r="H38" s="9">
        <v>374000</v>
      </c>
      <c r="I38" s="102">
        <f t="shared" si="0"/>
        <v>1840000</v>
      </c>
      <c r="J38" s="204">
        <f t="shared" si="1"/>
        <v>6.6847826086956524E-2</v>
      </c>
      <c r="K38" s="204">
        <f t="shared" si="2"/>
        <v>0.12173913043478261</v>
      </c>
      <c r="L38" s="204">
        <f t="shared" si="3"/>
        <v>0.1282608695652174</v>
      </c>
      <c r="M38" s="204">
        <f t="shared" si="4"/>
        <v>0.12445652173913044</v>
      </c>
      <c r="N38" s="204">
        <f t="shared" si="5"/>
        <v>0.14510869565217391</v>
      </c>
      <c r="O38" s="204">
        <f t="shared" si="6"/>
        <v>0.21032608695652175</v>
      </c>
      <c r="P38" s="204">
        <f t="shared" si="7"/>
        <v>0.20326086956521738</v>
      </c>
      <c r="AT38" s="129" t="s">
        <v>657</v>
      </c>
      <c r="AU38" s="200">
        <v>17463000</v>
      </c>
      <c r="AV38" s="166">
        <v>20644000</v>
      </c>
      <c r="AW38" s="166">
        <v>21787000</v>
      </c>
      <c r="AX38" s="166">
        <v>22723000</v>
      </c>
      <c r="AY38" s="166">
        <v>23323000</v>
      </c>
      <c r="AZ38" s="166">
        <v>24183000</v>
      </c>
      <c r="BA38" s="166">
        <v>25271000</v>
      </c>
    </row>
    <row r="39" spans="1:53" ht="12.45" customHeight="1">
      <c r="A39" s="138" t="s">
        <v>176</v>
      </c>
      <c r="B39" s="105">
        <v>543000</v>
      </c>
      <c r="C39" s="9">
        <v>584000</v>
      </c>
      <c r="D39" s="9">
        <v>590000</v>
      </c>
      <c r="E39" s="9">
        <v>662000</v>
      </c>
      <c r="F39" s="9">
        <v>743000</v>
      </c>
      <c r="G39" s="9">
        <v>765000</v>
      </c>
      <c r="H39" s="9">
        <v>805000</v>
      </c>
      <c r="I39" s="102">
        <f t="shared" si="0"/>
        <v>4692000</v>
      </c>
      <c r="J39" s="204">
        <f t="shared" si="1"/>
        <v>0.11572890025575447</v>
      </c>
      <c r="K39" s="204">
        <f t="shared" si="2"/>
        <v>0.12446717817561807</v>
      </c>
      <c r="L39" s="204">
        <f t="shared" si="3"/>
        <v>0.12574595055413471</v>
      </c>
      <c r="M39" s="204">
        <f t="shared" si="4"/>
        <v>0.14109121909633418</v>
      </c>
      <c r="N39" s="204">
        <f t="shared" si="5"/>
        <v>0.1583546462063086</v>
      </c>
      <c r="O39" s="204">
        <f t="shared" si="6"/>
        <v>0.16304347826086957</v>
      </c>
      <c r="P39" s="204">
        <f t="shared" si="7"/>
        <v>0.17156862745098039</v>
      </c>
      <c r="AB39" s="238" t="s">
        <v>652</v>
      </c>
      <c r="AC39" s="239">
        <v>2003</v>
      </c>
      <c r="AD39" s="239">
        <v>2010</v>
      </c>
      <c r="AE39" s="239">
        <v>2013</v>
      </c>
      <c r="AF39" s="239">
        <v>2015</v>
      </c>
      <c r="AG39" s="239">
        <v>2017</v>
      </c>
      <c r="AH39" s="239">
        <v>2019</v>
      </c>
      <c r="AI39" s="239">
        <v>2021</v>
      </c>
      <c r="AT39" s="120" t="s">
        <v>658</v>
      </c>
      <c r="AU39" s="124">
        <v>10843000</v>
      </c>
      <c r="AV39" s="119">
        <v>12761000</v>
      </c>
      <c r="AW39" s="119">
        <v>13898000</v>
      </c>
      <c r="AX39" s="119">
        <v>14303000</v>
      </c>
      <c r="AY39" s="119">
        <v>14606000</v>
      </c>
      <c r="AZ39" s="119">
        <v>15353000</v>
      </c>
      <c r="BA39" s="119">
        <v>15861000</v>
      </c>
    </row>
    <row r="40" spans="1:53" ht="12.45" customHeight="1">
      <c r="A40" s="111" t="s">
        <v>223</v>
      </c>
      <c r="B40" s="109">
        <v>2261000</v>
      </c>
      <c r="C40" s="104">
        <v>2651000</v>
      </c>
      <c r="D40" s="104">
        <v>2758000</v>
      </c>
      <c r="E40" s="104">
        <v>2903000</v>
      </c>
      <c r="F40" s="104">
        <v>3036000</v>
      </c>
      <c r="G40" s="104">
        <v>2903000</v>
      </c>
      <c r="H40" s="104">
        <v>3246000</v>
      </c>
      <c r="AB40" s="129" t="s">
        <v>657</v>
      </c>
      <c r="AC40" s="200">
        <v>17463000</v>
      </c>
      <c r="AD40" s="166">
        <v>20644000</v>
      </c>
      <c r="AE40" s="166">
        <v>21787000</v>
      </c>
      <c r="AF40" s="166">
        <v>22723000</v>
      </c>
      <c r="AG40" s="166">
        <v>23323000</v>
      </c>
      <c r="AH40" s="166">
        <v>24183000</v>
      </c>
      <c r="AI40" s="166">
        <v>25271000</v>
      </c>
      <c r="AT40" s="115" t="s">
        <v>659</v>
      </c>
      <c r="AU40" s="144">
        <v>4247000</v>
      </c>
      <c r="AV40" s="143">
        <v>5280000</v>
      </c>
      <c r="AW40" s="143">
        <v>5249000</v>
      </c>
      <c r="AX40" s="143">
        <v>5692000</v>
      </c>
      <c r="AY40" s="143">
        <v>5901000</v>
      </c>
      <c r="AZ40" s="143">
        <v>6017000</v>
      </c>
      <c r="BA40" s="143">
        <v>6375000</v>
      </c>
    </row>
    <row r="41" spans="1:53" ht="12.45" customHeight="1">
      <c r="A41" s="112" t="s">
        <v>174</v>
      </c>
      <c r="B41" s="105">
        <v>49000</v>
      </c>
      <c r="C41" s="9">
        <v>58000</v>
      </c>
      <c r="D41" s="9">
        <v>64000</v>
      </c>
      <c r="E41" s="9">
        <v>63000</v>
      </c>
      <c r="F41" s="9">
        <v>67000</v>
      </c>
      <c r="G41" s="9">
        <v>67000</v>
      </c>
      <c r="H41" s="9">
        <v>82000</v>
      </c>
      <c r="AB41" s="130" t="s">
        <v>174</v>
      </c>
      <c r="AC41" s="105">
        <v>3385000</v>
      </c>
      <c r="AD41" s="9">
        <v>3888000</v>
      </c>
      <c r="AE41" s="9">
        <v>4084000</v>
      </c>
      <c r="AF41" s="9">
        <v>4590000</v>
      </c>
      <c r="AG41" s="9">
        <v>4803000</v>
      </c>
      <c r="AH41" s="9">
        <v>5274000</v>
      </c>
      <c r="AI41" s="9">
        <v>5594000</v>
      </c>
      <c r="AT41" s="138" t="s">
        <v>660</v>
      </c>
      <c r="AU41" s="136">
        <v>849000</v>
      </c>
      <c r="AV41" s="137">
        <v>979000</v>
      </c>
      <c r="AW41" s="137">
        <v>954000</v>
      </c>
      <c r="AX41" s="137">
        <v>996000</v>
      </c>
      <c r="AY41" s="137">
        <v>1062000</v>
      </c>
      <c r="AZ41" s="137">
        <v>1190000</v>
      </c>
      <c r="BA41" s="137">
        <v>1254000</v>
      </c>
    </row>
    <row r="42" spans="1:53" ht="12.45" customHeight="1">
      <c r="A42" s="151" t="s">
        <v>227</v>
      </c>
      <c r="B42" s="105">
        <v>17000</v>
      </c>
      <c r="C42" s="9">
        <v>17000</v>
      </c>
      <c r="D42" s="9">
        <v>14000</v>
      </c>
      <c r="E42" s="9">
        <v>14000</v>
      </c>
      <c r="F42" s="9">
        <v>15000</v>
      </c>
      <c r="G42" s="9">
        <v>14000</v>
      </c>
      <c r="H42" s="9">
        <v>20000</v>
      </c>
      <c r="AB42" s="130" t="s">
        <v>175</v>
      </c>
      <c r="AC42" s="105">
        <v>2341000</v>
      </c>
      <c r="AD42" s="9">
        <v>3089000</v>
      </c>
      <c r="AE42" s="9">
        <v>3285000</v>
      </c>
      <c r="AF42" s="9">
        <v>3309000</v>
      </c>
      <c r="AG42" s="9">
        <v>3507000</v>
      </c>
      <c r="AH42" s="9">
        <v>3785000</v>
      </c>
      <c r="AI42" s="9">
        <v>4028000</v>
      </c>
    </row>
    <row r="43" spans="1:53" ht="12.45" customHeight="1">
      <c r="A43" s="163" t="s">
        <v>228</v>
      </c>
      <c r="B43" s="105">
        <v>11000</v>
      </c>
      <c r="C43" s="9">
        <v>7000</v>
      </c>
      <c r="D43" s="9">
        <v>11000</v>
      </c>
      <c r="E43" s="9">
        <v>13000</v>
      </c>
      <c r="F43" s="9">
        <v>11000</v>
      </c>
      <c r="G43" s="9">
        <v>14000</v>
      </c>
      <c r="H43" s="9">
        <v>22000</v>
      </c>
      <c r="AB43" s="130" t="s">
        <v>176</v>
      </c>
      <c r="AC43" s="105">
        <v>11736000</v>
      </c>
      <c r="AD43" s="9">
        <v>13667000</v>
      </c>
      <c r="AE43" s="9">
        <v>14418000</v>
      </c>
      <c r="AF43" s="9">
        <v>14824000</v>
      </c>
      <c r="AG43" s="9">
        <v>15013000</v>
      </c>
      <c r="AH43" s="9">
        <v>15125000</v>
      </c>
      <c r="AI43" s="9">
        <v>15649000</v>
      </c>
    </row>
    <row r="44" spans="1:53" ht="12.45" customHeight="1">
      <c r="A44" s="163" t="s">
        <v>229</v>
      </c>
      <c r="B44" s="105">
        <v>2000</v>
      </c>
      <c r="C44" s="13" t="s">
        <v>222</v>
      </c>
      <c r="D44" s="9">
        <v>1000</v>
      </c>
      <c r="E44" s="13" t="s">
        <v>222</v>
      </c>
      <c r="F44" s="9">
        <v>2000</v>
      </c>
      <c r="G44" s="9">
        <v>2000</v>
      </c>
      <c r="H44" s="9">
        <v>1000</v>
      </c>
      <c r="AB44" s="120" t="s">
        <v>658</v>
      </c>
      <c r="AC44" s="124">
        <v>10843000</v>
      </c>
      <c r="AD44" s="119">
        <v>12761000</v>
      </c>
      <c r="AE44" s="119">
        <v>13898000</v>
      </c>
      <c r="AF44" s="119">
        <v>14303000</v>
      </c>
      <c r="AG44" s="119">
        <v>14606000</v>
      </c>
      <c r="AH44" s="119">
        <v>15353000</v>
      </c>
      <c r="AI44" s="119">
        <v>15861000</v>
      </c>
    </row>
    <row r="45" spans="1:53" ht="12.45" customHeight="1">
      <c r="A45" s="163" t="s">
        <v>230</v>
      </c>
      <c r="B45" s="105">
        <v>17000</v>
      </c>
      <c r="C45" s="9">
        <v>31000</v>
      </c>
      <c r="D45" s="9">
        <v>35000</v>
      </c>
      <c r="E45" s="9">
        <v>30000</v>
      </c>
      <c r="F45" s="9">
        <v>37000</v>
      </c>
      <c r="G45" s="9">
        <v>32000</v>
      </c>
      <c r="H45" s="9">
        <v>38000</v>
      </c>
      <c r="AB45" s="121" t="s">
        <v>174</v>
      </c>
      <c r="AC45" s="105">
        <v>1925000</v>
      </c>
      <c r="AD45" s="9">
        <v>2260000</v>
      </c>
      <c r="AE45" s="9">
        <v>2457000</v>
      </c>
      <c r="AF45" s="9">
        <v>2700000</v>
      </c>
      <c r="AG45" s="9">
        <v>2867000</v>
      </c>
      <c r="AH45" s="9">
        <v>3142000</v>
      </c>
      <c r="AI45" s="9">
        <v>3339000</v>
      </c>
    </row>
    <row r="46" spans="1:53" ht="12.45" customHeight="1">
      <c r="A46" s="163" t="s">
        <v>231</v>
      </c>
      <c r="B46" s="105">
        <v>2000</v>
      </c>
      <c r="C46" s="9">
        <v>1000</v>
      </c>
      <c r="D46" s="9">
        <v>2000</v>
      </c>
      <c r="E46" s="9">
        <v>5000</v>
      </c>
      <c r="F46" s="9">
        <v>2000</v>
      </c>
      <c r="G46" s="9">
        <v>5000</v>
      </c>
      <c r="H46" s="13" t="s">
        <v>191</v>
      </c>
      <c r="AB46" s="121" t="s">
        <v>175</v>
      </c>
      <c r="AC46" s="105">
        <v>1060000</v>
      </c>
      <c r="AD46" s="9">
        <v>1450000</v>
      </c>
      <c r="AE46" s="9">
        <v>1571000</v>
      </c>
      <c r="AF46" s="9">
        <v>1655000</v>
      </c>
      <c r="AG46" s="9">
        <v>1685000</v>
      </c>
      <c r="AH46" s="9">
        <v>1949000</v>
      </c>
      <c r="AI46" s="9">
        <v>1988000</v>
      </c>
    </row>
    <row r="47" spans="1:53" ht="12.45" customHeight="1">
      <c r="A47" s="112" t="s">
        <v>175</v>
      </c>
      <c r="B47" s="105">
        <v>1045000</v>
      </c>
      <c r="C47" s="9">
        <v>1193000</v>
      </c>
      <c r="D47" s="9">
        <v>1262000</v>
      </c>
      <c r="E47" s="9">
        <v>1353000</v>
      </c>
      <c r="F47" s="9">
        <v>1404000</v>
      </c>
      <c r="G47" s="9">
        <v>1380000</v>
      </c>
      <c r="H47" s="9">
        <v>1538000</v>
      </c>
      <c r="AB47" s="121" t="s">
        <v>176</v>
      </c>
      <c r="AC47" s="105">
        <v>7858000</v>
      </c>
      <c r="AD47" s="9">
        <v>9052000</v>
      </c>
      <c r="AE47" s="9">
        <v>9871000</v>
      </c>
      <c r="AF47" s="9">
        <v>9948000</v>
      </c>
      <c r="AG47" s="9">
        <v>10055000</v>
      </c>
      <c r="AH47" s="9">
        <v>10262000</v>
      </c>
      <c r="AI47" s="9">
        <v>10534000</v>
      </c>
    </row>
    <row r="48" spans="1:53" ht="12.45" customHeight="1">
      <c r="A48" s="112" t="s">
        <v>176</v>
      </c>
      <c r="B48" s="105">
        <v>1167000</v>
      </c>
      <c r="C48" s="9">
        <v>1399000</v>
      </c>
      <c r="D48" s="9">
        <v>1433000</v>
      </c>
      <c r="E48" s="9">
        <v>1487000</v>
      </c>
      <c r="F48" s="9">
        <v>1565000</v>
      </c>
      <c r="G48" s="9">
        <v>1456000</v>
      </c>
      <c r="H48" s="9">
        <v>1626000</v>
      </c>
      <c r="AB48" s="115" t="s">
        <v>659</v>
      </c>
      <c r="AC48" s="144">
        <v>4247000</v>
      </c>
      <c r="AD48" s="143">
        <v>5280000</v>
      </c>
      <c r="AE48" s="143">
        <v>5249000</v>
      </c>
      <c r="AF48" s="143">
        <v>5692000</v>
      </c>
      <c r="AG48" s="143">
        <v>5901000</v>
      </c>
      <c r="AH48" s="143">
        <v>6017000</v>
      </c>
      <c r="AI48" s="143">
        <v>6375000</v>
      </c>
    </row>
    <row r="49" spans="1:44" ht="12.45" customHeight="1">
      <c r="A49" s="129" t="s">
        <v>661</v>
      </c>
      <c r="B49" s="200">
        <v>15111000</v>
      </c>
      <c r="C49" s="166">
        <v>19978000</v>
      </c>
      <c r="D49" s="166">
        <v>22052000</v>
      </c>
      <c r="E49" s="166">
        <v>23218000</v>
      </c>
      <c r="F49" s="166">
        <v>24900000</v>
      </c>
      <c r="G49" s="166">
        <v>26341000</v>
      </c>
      <c r="H49" s="166">
        <v>26493000</v>
      </c>
      <c r="I49" s="276">
        <f t="shared" ref="I49:I84" si="20">SUM(B49:H49)</f>
        <v>158093000</v>
      </c>
      <c r="J49" s="277">
        <f t="shared" ref="J49:J84" si="21">B49/$I49</f>
        <v>9.558297963856717E-2</v>
      </c>
      <c r="K49" s="277">
        <f t="shared" ref="K49:K84" si="22">C49/$I49</f>
        <v>0.12636865642375059</v>
      </c>
      <c r="L49" s="277">
        <f t="shared" ref="L49:L84" si="23">D49/$I49</f>
        <v>0.13948751684135288</v>
      </c>
      <c r="M49" s="277">
        <f t="shared" ref="M49:M84" si="24">E49/$I49</f>
        <v>0.14686292245703478</v>
      </c>
      <c r="N49" s="277">
        <f t="shared" ref="N49:N84" si="25">F49/$I49</f>
        <v>0.15750222970023972</v>
      </c>
      <c r="O49" s="277">
        <f t="shared" ref="O49:O84" si="26">G49/$I49</f>
        <v>0.16661711777245039</v>
      </c>
      <c r="P49" s="277">
        <f t="shared" ref="P49:P84" si="27">H49/$I49</f>
        <v>0.16757857716660446</v>
      </c>
      <c r="AB49" s="116" t="s">
        <v>174</v>
      </c>
      <c r="AC49" s="105">
        <v>999000</v>
      </c>
      <c r="AD49" s="9">
        <v>1129000</v>
      </c>
      <c r="AE49" s="9">
        <v>1114000</v>
      </c>
      <c r="AF49" s="9">
        <v>1367000</v>
      </c>
      <c r="AG49" s="9">
        <v>1399000</v>
      </c>
      <c r="AH49" s="9">
        <v>1529000</v>
      </c>
      <c r="AI49" s="9">
        <v>1595000</v>
      </c>
    </row>
    <row r="50" spans="1:44" ht="12.45" customHeight="1">
      <c r="A50" s="130" t="s">
        <v>174</v>
      </c>
      <c r="B50" s="105">
        <v>1203000</v>
      </c>
      <c r="C50" s="9">
        <v>1486000</v>
      </c>
      <c r="D50" s="9">
        <v>1681000</v>
      </c>
      <c r="E50" s="9">
        <v>1818000</v>
      </c>
      <c r="F50" s="9">
        <v>1966000</v>
      </c>
      <c r="G50" s="9">
        <v>2193000</v>
      </c>
      <c r="H50" s="9">
        <v>2300000</v>
      </c>
      <c r="I50" s="102">
        <f t="shared" si="20"/>
        <v>12647000</v>
      </c>
      <c r="J50" s="204">
        <f t="shared" si="21"/>
        <v>9.5121372657547248E-2</v>
      </c>
      <c r="K50" s="204">
        <f t="shared" si="22"/>
        <v>0.11749822092195777</v>
      </c>
      <c r="L50" s="204">
        <f t="shared" si="23"/>
        <v>0.13291689728789435</v>
      </c>
      <c r="M50" s="204">
        <f t="shared" si="24"/>
        <v>0.14374950581165494</v>
      </c>
      <c r="N50" s="204">
        <f t="shared" si="25"/>
        <v>0.15545188582272476</v>
      </c>
      <c r="O50" s="204">
        <f t="shared" si="26"/>
        <v>0.17340080651537915</v>
      </c>
      <c r="P50" s="204">
        <f t="shared" si="27"/>
        <v>0.18186131098284178</v>
      </c>
      <c r="AB50" s="116" t="s">
        <v>175</v>
      </c>
      <c r="AC50" s="105">
        <v>479000</v>
      </c>
      <c r="AD50" s="9">
        <v>721000</v>
      </c>
      <c r="AE50" s="9">
        <v>790000</v>
      </c>
      <c r="AF50" s="9">
        <v>726000</v>
      </c>
      <c r="AG50" s="9">
        <v>857000</v>
      </c>
      <c r="AH50" s="9">
        <v>864000</v>
      </c>
      <c r="AI50" s="9">
        <v>998000</v>
      </c>
    </row>
    <row r="51" spans="1:44" ht="12.45" customHeight="1">
      <c r="A51" s="184" t="s">
        <v>227</v>
      </c>
      <c r="B51" s="105">
        <v>164000</v>
      </c>
      <c r="C51" s="9">
        <v>292000</v>
      </c>
      <c r="D51" s="9">
        <v>311000</v>
      </c>
      <c r="E51" s="9">
        <v>302000</v>
      </c>
      <c r="F51" s="9">
        <v>292000</v>
      </c>
      <c r="G51" s="9">
        <v>337000</v>
      </c>
      <c r="H51" s="9">
        <v>367000</v>
      </c>
      <c r="I51" s="102">
        <f t="shared" si="20"/>
        <v>2065000</v>
      </c>
      <c r="J51" s="204">
        <f t="shared" si="21"/>
        <v>7.9418886198547214E-2</v>
      </c>
      <c r="K51" s="204">
        <f t="shared" si="22"/>
        <v>0.14140435835351089</v>
      </c>
      <c r="L51" s="204">
        <f t="shared" si="23"/>
        <v>0.15060532687651332</v>
      </c>
      <c r="M51" s="204">
        <f t="shared" si="24"/>
        <v>0.14624697336561743</v>
      </c>
      <c r="N51" s="204">
        <f t="shared" si="25"/>
        <v>0.14140435835351089</v>
      </c>
      <c r="O51" s="204">
        <f t="shared" si="26"/>
        <v>0.16319612590799032</v>
      </c>
      <c r="P51" s="204">
        <f t="shared" si="27"/>
        <v>0.17772397094430992</v>
      </c>
      <c r="AB51" s="116" t="s">
        <v>176</v>
      </c>
      <c r="AC51" s="105">
        <v>2769000</v>
      </c>
      <c r="AD51" s="9">
        <v>3430000</v>
      </c>
      <c r="AE51" s="9">
        <v>3346000</v>
      </c>
      <c r="AF51" s="9">
        <v>3599000</v>
      </c>
      <c r="AG51" s="9">
        <v>3645000</v>
      </c>
      <c r="AH51" s="9">
        <v>3625000</v>
      </c>
      <c r="AI51" s="9">
        <v>3781000</v>
      </c>
    </row>
    <row r="52" spans="1:44" ht="12.45" customHeight="1">
      <c r="A52" s="131" t="s">
        <v>228</v>
      </c>
      <c r="B52" s="105">
        <v>552000</v>
      </c>
      <c r="C52" s="9">
        <v>602000</v>
      </c>
      <c r="D52" s="9">
        <v>673000</v>
      </c>
      <c r="E52" s="9">
        <v>833000</v>
      </c>
      <c r="F52" s="9">
        <v>919000</v>
      </c>
      <c r="G52" s="9">
        <v>975000</v>
      </c>
      <c r="H52" s="9">
        <v>1053000</v>
      </c>
      <c r="I52" s="102">
        <f t="shared" si="20"/>
        <v>5607000</v>
      </c>
      <c r="J52" s="204">
        <f t="shared" si="21"/>
        <v>9.8448368111289458E-2</v>
      </c>
      <c r="K52" s="204">
        <f t="shared" si="22"/>
        <v>0.10736579275905118</v>
      </c>
      <c r="L52" s="204">
        <f t="shared" si="23"/>
        <v>0.12002853575887283</v>
      </c>
      <c r="M52" s="204">
        <f t="shared" si="24"/>
        <v>0.14856429463171036</v>
      </c>
      <c r="N52" s="204">
        <f t="shared" si="25"/>
        <v>0.16390226502586053</v>
      </c>
      <c r="O52" s="204">
        <f t="shared" si="26"/>
        <v>0.17388978063135366</v>
      </c>
      <c r="P52" s="204">
        <f t="shared" si="27"/>
        <v>0.18780096308186195</v>
      </c>
      <c r="AB52" s="138" t="s">
        <v>660</v>
      </c>
      <c r="AC52" s="136">
        <v>849000</v>
      </c>
      <c r="AD52" s="137">
        <v>979000</v>
      </c>
      <c r="AE52" s="137">
        <v>954000</v>
      </c>
      <c r="AF52" s="137">
        <v>996000</v>
      </c>
      <c r="AG52" s="137">
        <v>1062000</v>
      </c>
      <c r="AH52" s="137">
        <v>1190000</v>
      </c>
      <c r="AI52" s="137">
        <v>1254000</v>
      </c>
    </row>
    <row r="53" spans="1:44" ht="12.45" customHeight="1">
      <c r="A53" s="131" t="s">
        <v>229</v>
      </c>
      <c r="B53" s="105">
        <v>83000</v>
      </c>
      <c r="C53" s="9">
        <v>98000</v>
      </c>
      <c r="D53" s="9">
        <v>100000</v>
      </c>
      <c r="E53" s="9">
        <v>92000</v>
      </c>
      <c r="F53" s="9">
        <v>107000</v>
      </c>
      <c r="G53" s="9">
        <v>142000</v>
      </c>
      <c r="H53" s="9">
        <v>135000</v>
      </c>
      <c r="I53" s="102">
        <f t="shared" si="20"/>
        <v>757000</v>
      </c>
      <c r="J53" s="204">
        <f t="shared" si="21"/>
        <v>0.10964332892998679</v>
      </c>
      <c r="K53" s="204">
        <f t="shared" si="22"/>
        <v>0.12945838837516513</v>
      </c>
      <c r="L53" s="204">
        <f t="shared" si="23"/>
        <v>0.13210039630118892</v>
      </c>
      <c r="M53" s="204">
        <f t="shared" si="24"/>
        <v>0.12153236459709379</v>
      </c>
      <c r="N53" s="204">
        <f t="shared" si="25"/>
        <v>0.14134742404227213</v>
      </c>
      <c r="O53" s="204">
        <f t="shared" si="26"/>
        <v>0.18758256274768825</v>
      </c>
      <c r="P53" s="204">
        <f t="shared" si="27"/>
        <v>0.17833553500660501</v>
      </c>
      <c r="AB53" s="139" t="s">
        <v>174</v>
      </c>
      <c r="AC53" s="105">
        <v>434000</v>
      </c>
      <c r="AD53" s="9">
        <v>477000</v>
      </c>
      <c r="AE53" s="9">
        <v>485000</v>
      </c>
      <c r="AF53" s="9">
        <v>490000</v>
      </c>
      <c r="AG53" s="9">
        <v>507000</v>
      </c>
      <c r="AH53" s="9">
        <v>573000</v>
      </c>
      <c r="AI53" s="9">
        <v>619000</v>
      </c>
      <c r="AK53" s="238" t="s">
        <v>652</v>
      </c>
      <c r="AL53" s="239">
        <v>2003</v>
      </c>
      <c r="AM53" s="239">
        <v>2010</v>
      </c>
      <c r="AN53" s="239">
        <v>2013</v>
      </c>
      <c r="AO53" s="239">
        <v>2015</v>
      </c>
      <c r="AP53" s="239">
        <v>2017</v>
      </c>
      <c r="AQ53" s="239">
        <v>2019</v>
      </c>
      <c r="AR53" s="239">
        <v>2021</v>
      </c>
    </row>
    <row r="54" spans="1:44" ht="12.45" customHeight="1">
      <c r="A54" s="131" t="s">
        <v>230</v>
      </c>
      <c r="B54" s="105">
        <v>251000</v>
      </c>
      <c r="C54" s="9">
        <v>295000</v>
      </c>
      <c r="D54" s="9">
        <v>363000</v>
      </c>
      <c r="E54" s="9">
        <v>341000</v>
      </c>
      <c r="F54" s="9">
        <v>379000</v>
      </c>
      <c r="G54" s="9">
        <v>428000</v>
      </c>
      <c r="H54" s="9">
        <v>433000</v>
      </c>
      <c r="I54" s="102">
        <f t="shared" si="20"/>
        <v>2490000</v>
      </c>
      <c r="J54" s="204">
        <f t="shared" si="21"/>
        <v>0.10080321285140562</v>
      </c>
      <c r="K54" s="204">
        <f t="shared" si="22"/>
        <v>0.11847389558232932</v>
      </c>
      <c r="L54" s="204">
        <f t="shared" si="23"/>
        <v>0.14578313253012049</v>
      </c>
      <c r="M54" s="204">
        <f t="shared" si="24"/>
        <v>0.13694779116465863</v>
      </c>
      <c r="N54" s="204">
        <f t="shared" si="25"/>
        <v>0.15220883534136545</v>
      </c>
      <c r="O54" s="204">
        <f t="shared" si="26"/>
        <v>0.17188755020080321</v>
      </c>
      <c r="P54" s="204">
        <f t="shared" si="27"/>
        <v>0.17389558232931726</v>
      </c>
      <c r="AB54" s="139" t="s">
        <v>175</v>
      </c>
      <c r="AC54" s="105">
        <v>72000</v>
      </c>
      <c r="AD54" s="9">
        <v>138000</v>
      </c>
      <c r="AE54" s="9">
        <v>136000</v>
      </c>
      <c r="AF54" s="9">
        <v>122000</v>
      </c>
      <c r="AG54" s="9">
        <v>140000</v>
      </c>
      <c r="AH54" s="9">
        <v>199000</v>
      </c>
      <c r="AI54" s="9">
        <v>177000</v>
      </c>
      <c r="AK54" s="128" t="s">
        <v>656</v>
      </c>
    </row>
    <row r="55" spans="1:44" ht="18" customHeight="1">
      <c r="A55" s="131" t="s">
        <v>231</v>
      </c>
      <c r="B55" s="107">
        <v>154000</v>
      </c>
      <c r="C55" s="7">
        <v>200000</v>
      </c>
      <c r="D55" s="7">
        <v>235000</v>
      </c>
      <c r="E55" s="7">
        <v>250000</v>
      </c>
      <c r="F55" s="7">
        <v>269000</v>
      </c>
      <c r="G55" s="7">
        <v>310000</v>
      </c>
      <c r="H55" s="7">
        <v>312000</v>
      </c>
      <c r="I55" s="102">
        <f t="shared" si="20"/>
        <v>1730000</v>
      </c>
      <c r="J55" s="204">
        <f t="shared" si="21"/>
        <v>8.9017341040462425E-2</v>
      </c>
      <c r="K55" s="204">
        <f t="shared" si="22"/>
        <v>0.11560693641618497</v>
      </c>
      <c r="L55" s="204">
        <f t="shared" si="23"/>
        <v>0.13583815028901733</v>
      </c>
      <c r="M55" s="204">
        <f t="shared" si="24"/>
        <v>0.14450867052023122</v>
      </c>
      <c r="N55" s="204">
        <f t="shared" si="25"/>
        <v>0.15549132947976879</v>
      </c>
      <c r="O55" s="204">
        <f t="shared" si="26"/>
        <v>0.1791907514450867</v>
      </c>
      <c r="P55" s="204">
        <f t="shared" si="27"/>
        <v>0.18034682080924855</v>
      </c>
      <c r="AB55" s="139" t="s">
        <v>176</v>
      </c>
      <c r="AC55" s="105">
        <v>343000</v>
      </c>
      <c r="AD55" s="9">
        <v>364000</v>
      </c>
      <c r="AE55" s="9">
        <v>333000</v>
      </c>
      <c r="AF55" s="9">
        <v>384000</v>
      </c>
      <c r="AG55" s="9">
        <v>415000</v>
      </c>
      <c r="AH55" s="9">
        <v>419000</v>
      </c>
      <c r="AI55" s="9">
        <v>458000</v>
      </c>
      <c r="AK55" s="125" t="s">
        <v>218</v>
      </c>
    </row>
    <row r="56" spans="1:44">
      <c r="A56" s="130" t="s">
        <v>175</v>
      </c>
      <c r="B56" s="105">
        <v>2814000</v>
      </c>
      <c r="C56" s="9">
        <v>3877000</v>
      </c>
      <c r="D56" s="9">
        <v>4223000</v>
      </c>
      <c r="E56" s="9">
        <v>4558000</v>
      </c>
      <c r="F56" s="9">
        <v>4764000</v>
      </c>
      <c r="G56" s="9">
        <v>5109000</v>
      </c>
      <c r="H56" s="9">
        <v>5494000</v>
      </c>
      <c r="I56" s="102">
        <f t="shared" si="20"/>
        <v>30839000</v>
      </c>
      <c r="J56" s="204">
        <f t="shared" si="21"/>
        <v>9.1248094944712865E-2</v>
      </c>
      <c r="K56" s="204">
        <f t="shared" si="22"/>
        <v>0.12571743571451732</v>
      </c>
      <c r="L56" s="204">
        <f t="shared" si="23"/>
        <v>0.13693699536301437</v>
      </c>
      <c r="M56" s="204">
        <f t="shared" si="24"/>
        <v>0.14779986380881352</v>
      </c>
      <c r="N56" s="204">
        <f t="shared" si="25"/>
        <v>0.15447971724115567</v>
      </c>
      <c r="O56" s="204">
        <f t="shared" si="26"/>
        <v>0.16566685041668017</v>
      </c>
      <c r="P56" s="204">
        <f t="shared" si="27"/>
        <v>0.17815104251110606</v>
      </c>
      <c r="AK56" s="114" t="s">
        <v>219</v>
      </c>
    </row>
    <row r="57" spans="1:44">
      <c r="A57" s="130" t="s">
        <v>176</v>
      </c>
      <c r="B57" s="105">
        <v>11094000</v>
      </c>
      <c r="C57" s="9">
        <v>14615000</v>
      </c>
      <c r="D57" s="9">
        <v>16147000</v>
      </c>
      <c r="E57" s="9">
        <v>16842000</v>
      </c>
      <c r="F57" s="9">
        <v>18170000</v>
      </c>
      <c r="G57" s="9">
        <v>19040000</v>
      </c>
      <c r="H57" s="9">
        <v>18699000</v>
      </c>
      <c r="I57" s="102">
        <f t="shared" si="20"/>
        <v>114607000</v>
      </c>
      <c r="J57" s="204">
        <f t="shared" si="21"/>
        <v>9.6800369959950089E-2</v>
      </c>
      <c r="K57" s="204">
        <f t="shared" si="22"/>
        <v>0.12752275166438351</v>
      </c>
      <c r="L57" s="204">
        <f t="shared" si="23"/>
        <v>0.1408901725025522</v>
      </c>
      <c r="M57" s="204">
        <f t="shared" si="24"/>
        <v>0.14695437451464571</v>
      </c>
      <c r="N57" s="204">
        <f t="shared" si="25"/>
        <v>0.15854179936653084</v>
      </c>
      <c r="O57" s="204">
        <f t="shared" si="26"/>
        <v>0.16613295871979897</v>
      </c>
      <c r="P57" s="204">
        <f t="shared" si="27"/>
        <v>0.1631575732721387</v>
      </c>
      <c r="AK57" s="135" t="s">
        <v>221</v>
      </c>
    </row>
    <row r="58" spans="1:44">
      <c r="A58" s="120" t="s">
        <v>662</v>
      </c>
      <c r="B58" s="124">
        <v>9522000</v>
      </c>
      <c r="C58" s="119">
        <v>12592000</v>
      </c>
      <c r="D58" s="119">
        <v>13904000</v>
      </c>
      <c r="E58" s="119">
        <v>14206000</v>
      </c>
      <c r="F58" s="119">
        <v>15524000</v>
      </c>
      <c r="G58" s="119">
        <v>16021000</v>
      </c>
      <c r="H58" s="119">
        <v>15827000</v>
      </c>
      <c r="I58" s="278">
        <f t="shared" si="20"/>
        <v>97596000</v>
      </c>
      <c r="J58" s="279">
        <f t="shared" si="21"/>
        <v>9.7565473994835852E-2</v>
      </c>
      <c r="K58" s="279">
        <f t="shared" si="22"/>
        <v>0.12902168121644331</v>
      </c>
      <c r="L58" s="279">
        <f t="shared" si="23"/>
        <v>0.14246485511701298</v>
      </c>
      <c r="M58" s="279">
        <f t="shared" si="24"/>
        <v>0.14555924423132097</v>
      </c>
      <c r="N58" s="279">
        <f t="shared" si="25"/>
        <v>0.15906389606131399</v>
      </c>
      <c r="O58" s="279">
        <f t="shared" si="26"/>
        <v>0.1641563178818804</v>
      </c>
      <c r="P58" s="279">
        <f t="shared" si="27"/>
        <v>0.16216853149719251</v>
      </c>
      <c r="AK58" s="129" t="s">
        <v>661</v>
      </c>
    </row>
    <row r="59" spans="1:44" ht="24">
      <c r="A59" s="121" t="s">
        <v>174</v>
      </c>
      <c r="B59" s="105">
        <v>605000</v>
      </c>
      <c r="C59" s="9">
        <v>720000</v>
      </c>
      <c r="D59" s="9">
        <v>832000</v>
      </c>
      <c r="E59" s="9">
        <v>818000</v>
      </c>
      <c r="F59" s="9">
        <v>979000</v>
      </c>
      <c r="G59" s="9">
        <v>1034000</v>
      </c>
      <c r="H59" s="9">
        <v>1099000</v>
      </c>
      <c r="I59" s="102">
        <f t="shared" si="20"/>
        <v>6087000</v>
      </c>
      <c r="J59" s="204">
        <f t="shared" si="21"/>
        <v>9.939214719894858E-2</v>
      </c>
      <c r="K59" s="204">
        <f t="shared" si="22"/>
        <v>0.11828486939379004</v>
      </c>
      <c r="L59" s="204">
        <f t="shared" si="23"/>
        <v>0.13668473796615738</v>
      </c>
      <c r="M59" s="204">
        <f t="shared" si="24"/>
        <v>0.13438475439461148</v>
      </c>
      <c r="N59" s="204">
        <f t="shared" si="25"/>
        <v>0.16083456546738953</v>
      </c>
      <c r="O59" s="204">
        <f t="shared" si="26"/>
        <v>0.16987021521274848</v>
      </c>
      <c r="P59" s="204">
        <f t="shared" si="27"/>
        <v>0.18054871036635453</v>
      </c>
      <c r="AK59" s="120" t="s">
        <v>662</v>
      </c>
    </row>
    <row r="60" spans="1:44" ht="24">
      <c r="A60" s="123" t="s">
        <v>227</v>
      </c>
      <c r="B60" s="105">
        <v>62000</v>
      </c>
      <c r="C60" s="9">
        <v>136000</v>
      </c>
      <c r="D60" s="9">
        <v>139000</v>
      </c>
      <c r="E60" s="9">
        <v>127000</v>
      </c>
      <c r="F60" s="9">
        <v>119000</v>
      </c>
      <c r="G60" s="9">
        <v>129000</v>
      </c>
      <c r="H60" s="9">
        <v>140000</v>
      </c>
      <c r="I60" s="102">
        <f t="shared" si="20"/>
        <v>852000</v>
      </c>
      <c r="J60" s="204">
        <f t="shared" si="21"/>
        <v>7.2769953051643188E-2</v>
      </c>
      <c r="K60" s="204">
        <f t="shared" si="22"/>
        <v>0.15962441314553991</v>
      </c>
      <c r="L60" s="204">
        <f t="shared" si="23"/>
        <v>0.16314553990610328</v>
      </c>
      <c r="M60" s="204">
        <f t="shared" si="24"/>
        <v>0.14906103286384975</v>
      </c>
      <c r="N60" s="204">
        <f t="shared" si="25"/>
        <v>0.13967136150234741</v>
      </c>
      <c r="O60" s="204">
        <f t="shared" si="26"/>
        <v>0.15140845070422534</v>
      </c>
      <c r="P60" s="204">
        <f t="shared" si="27"/>
        <v>0.16431924882629109</v>
      </c>
      <c r="AK60" s="115" t="s">
        <v>663</v>
      </c>
    </row>
    <row r="61" spans="1:44" ht="36">
      <c r="A61" s="122" t="s">
        <v>228</v>
      </c>
      <c r="B61" s="105">
        <v>363000</v>
      </c>
      <c r="C61" s="9">
        <v>383000</v>
      </c>
      <c r="D61" s="9">
        <v>435000</v>
      </c>
      <c r="E61" s="9">
        <v>456000</v>
      </c>
      <c r="F61" s="9">
        <v>570000</v>
      </c>
      <c r="G61" s="9">
        <v>568000</v>
      </c>
      <c r="H61" s="9">
        <v>612000</v>
      </c>
      <c r="I61" s="102">
        <f t="shared" si="20"/>
        <v>3387000</v>
      </c>
      <c r="J61" s="204">
        <f t="shared" si="21"/>
        <v>0.10717449069973428</v>
      </c>
      <c r="K61" s="204">
        <f t="shared" si="22"/>
        <v>0.11307942131679953</v>
      </c>
      <c r="L61" s="204">
        <f t="shared" si="23"/>
        <v>0.12843224092116917</v>
      </c>
      <c r="M61" s="204">
        <f t="shared" si="24"/>
        <v>0.13463241806908768</v>
      </c>
      <c r="N61" s="204">
        <f t="shared" si="25"/>
        <v>0.1682905225863596</v>
      </c>
      <c r="O61" s="204">
        <f t="shared" si="26"/>
        <v>0.16770002952465307</v>
      </c>
      <c r="P61" s="204">
        <f t="shared" si="27"/>
        <v>0.18069087688219662</v>
      </c>
      <c r="AK61" s="138" t="s">
        <v>664</v>
      </c>
    </row>
    <row r="62" spans="1:44">
      <c r="A62" s="122" t="s">
        <v>229</v>
      </c>
      <c r="B62" s="105">
        <v>40000</v>
      </c>
      <c r="C62" s="9">
        <v>43000</v>
      </c>
      <c r="D62" s="9">
        <v>49000</v>
      </c>
      <c r="E62" s="9">
        <v>39000</v>
      </c>
      <c r="F62" s="9">
        <v>49000</v>
      </c>
      <c r="G62" s="9">
        <v>78000</v>
      </c>
      <c r="H62" s="9">
        <v>62000</v>
      </c>
      <c r="I62" s="102">
        <f t="shared" si="20"/>
        <v>360000</v>
      </c>
      <c r="J62" s="204">
        <f t="shared" si="21"/>
        <v>0.1111111111111111</v>
      </c>
      <c r="K62" s="204">
        <f t="shared" si="22"/>
        <v>0.11944444444444445</v>
      </c>
      <c r="L62" s="204">
        <f t="shared" si="23"/>
        <v>0.1361111111111111</v>
      </c>
      <c r="M62" s="204">
        <f t="shared" si="24"/>
        <v>0.10833333333333334</v>
      </c>
      <c r="N62" s="204">
        <f t="shared" si="25"/>
        <v>0.1361111111111111</v>
      </c>
      <c r="O62" s="204">
        <f t="shared" si="26"/>
        <v>0.21666666666666667</v>
      </c>
      <c r="P62" s="204">
        <f t="shared" si="27"/>
        <v>0.17222222222222222</v>
      </c>
      <c r="AK62" s="129" t="s">
        <v>657</v>
      </c>
    </row>
    <row r="63" spans="1:44" ht="24">
      <c r="A63" s="122" t="s">
        <v>230</v>
      </c>
      <c r="B63" s="105">
        <v>50000</v>
      </c>
      <c r="C63" s="9">
        <v>51000</v>
      </c>
      <c r="D63" s="9">
        <v>74000</v>
      </c>
      <c r="E63" s="9">
        <v>53000</v>
      </c>
      <c r="F63" s="9">
        <v>92000</v>
      </c>
      <c r="G63" s="9">
        <v>95000</v>
      </c>
      <c r="H63" s="9">
        <v>106000</v>
      </c>
      <c r="I63" s="102">
        <f t="shared" si="20"/>
        <v>521000</v>
      </c>
      <c r="J63" s="204">
        <f t="shared" si="21"/>
        <v>9.5969289827255277E-2</v>
      </c>
      <c r="K63" s="204">
        <f t="shared" si="22"/>
        <v>9.7888675623800381E-2</v>
      </c>
      <c r="L63" s="204">
        <f t="shared" si="23"/>
        <v>0.14203454894433781</v>
      </c>
      <c r="M63" s="204">
        <f t="shared" si="24"/>
        <v>0.1017274472168906</v>
      </c>
      <c r="N63" s="204">
        <f t="shared" si="25"/>
        <v>0.1765834932821497</v>
      </c>
      <c r="O63" s="204">
        <f t="shared" si="26"/>
        <v>0.18234165067178504</v>
      </c>
      <c r="P63" s="204">
        <f t="shared" si="27"/>
        <v>0.2034548944337812</v>
      </c>
      <c r="AK63" s="120" t="s">
        <v>658</v>
      </c>
    </row>
    <row r="64" spans="1:44" ht="24">
      <c r="A64" s="122" t="s">
        <v>231</v>
      </c>
      <c r="B64" s="105">
        <v>89000</v>
      </c>
      <c r="C64" s="9">
        <v>106000</v>
      </c>
      <c r="D64" s="9">
        <v>134000</v>
      </c>
      <c r="E64" s="9">
        <v>143000</v>
      </c>
      <c r="F64" s="9">
        <v>149000</v>
      </c>
      <c r="G64" s="9">
        <v>163000</v>
      </c>
      <c r="H64" s="9">
        <v>179000</v>
      </c>
      <c r="I64" s="102">
        <f t="shared" si="20"/>
        <v>963000</v>
      </c>
      <c r="J64" s="204">
        <f t="shared" si="21"/>
        <v>9.2419522326064388E-2</v>
      </c>
      <c r="K64" s="204">
        <f t="shared" si="22"/>
        <v>0.11007268951194185</v>
      </c>
      <c r="L64" s="204">
        <f t="shared" si="23"/>
        <v>0.1391484942886812</v>
      </c>
      <c r="M64" s="204">
        <f t="shared" si="24"/>
        <v>0.14849428868120457</v>
      </c>
      <c r="N64" s="204">
        <f t="shared" si="25"/>
        <v>0.15472481827622014</v>
      </c>
      <c r="O64" s="204">
        <f t="shared" si="26"/>
        <v>0.16926272066458983</v>
      </c>
      <c r="P64" s="204">
        <f t="shared" si="27"/>
        <v>0.18587746625129803</v>
      </c>
      <c r="AK64" s="115" t="s">
        <v>659</v>
      </c>
    </row>
    <row r="65" spans="1:37" ht="24">
      <c r="A65" s="121" t="s">
        <v>175</v>
      </c>
      <c r="B65" s="105">
        <v>1719000</v>
      </c>
      <c r="C65" s="9">
        <v>2335000</v>
      </c>
      <c r="D65" s="9">
        <v>2494000</v>
      </c>
      <c r="E65" s="9">
        <v>2567000</v>
      </c>
      <c r="F65" s="9">
        <v>2654000</v>
      </c>
      <c r="G65" s="9">
        <v>2845000</v>
      </c>
      <c r="H65" s="9">
        <v>3044000</v>
      </c>
      <c r="I65" s="102">
        <f t="shared" si="20"/>
        <v>17658000</v>
      </c>
      <c r="J65" s="204">
        <f t="shared" si="21"/>
        <v>9.7349643221202847E-2</v>
      </c>
      <c r="K65" s="204">
        <f t="shared" si="22"/>
        <v>0.13223468116434478</v>
      </c>
      <c r="L65" s="204">
        <f t="shared" si="23"/>
        <v>0.14123909842564278</v>
      </c>
      <c r="M65" s="204">
        <f t="shared" si="24"/>
        <v>0.1453732019481255</v>
      </c>
      <c r="N65" s="204">
        <f t="shared" si="25"/>
        <v>0.15030014724204327</v>
      </c>
      <c r="O65" s="204">
        <f t="shared" si="26"/>
        <v>0.16111677426662135</v>
      </c>
      <c r="P65" s="204">
        <f t="shared" si="27"/>
        <v>0.17238645373201947</v>
      </c>
      <c r="AK65" s="138" t="s">
        <v>660</v>
      </c>
    </row>
    <row r="66" spans="1:37">
      <c r="A66" s="121" t="s">
        <v>176</v>
      </c>
      <c r="B66" s="105">
        <v>7198000</v>
      </c>
      <c r="C66" s="9">
        <v>9538000</v>
      </c>
      <c r="D66" s="9">
        <v>10579000</v>
      </c>
      <c r="E66" s="9">
        <v>10821000</v>
      </c>
      <c r="F66" s="9">
        <v>11891000</v>
      </c>
      <c r="G66" s="9">
        <v>12142000</v>
      </c>
      <c r="H66" s="9">
        <v>11685000</v>
      </c>
      <c r="I66" s="102">
        <f t="shared" si="20"/>
        <v>73854000</v>
      </c>
      <c r="J66" s="204">
        <f t="shared" si="21"/>
        <v>9.7462561269531775E-2</v>
      </c>
      <c r="K66" s="204">
        <f t="shared" si="22"/>
        <v>0.12914669483034094</v>
      </c>
      <c r="L66" s="204">
        <f t="shared" si="23"/>
        <v>0.14324207219649579</v>
      </c>
      <c r="M66" s="204">
        <f t="shared" si="24"/>
        <v>0.14651880737671621</v>
      </c>
      <c r="N66" s="204">
        <f t="shared" si="25"/>
        <v>0.16100685135537682</v>
      </c>
      <c r="O66" s="204">
        <f t="shared" si="26"/>
        <v>0.16440544858775422</v>
      </c>
      <c r="P66" s="204">
        <f t="shared" si="27"/>
        <v>0.15821756438378423</v>
      </c>
    </row>
    <row r="67" spans="1:37">
      <c r="A67" s="115" t="s">
        <v>663</v>
      </c>
      <c r="B67" s="144">
        <v>4431000</v>
      </c>
      <c r="C67" s="143">
        <v>5838000</v>
      </c>
      <c r="D67" s="143">
        <v>6479000</v>
      </c>
      <c r="E67" s="143">
        <v>7196000</v>
      </c>
      <c r="F67" s="143">
        <v>7359000</v>
      </c>
      <c r="G67" s="143">
        <v>8141000</v>
      </c>
      <c r="H67" s="143">
        <v>8314000</v>
      </c>
      <c r="I67" s="280">
        <f t="shared" si="20"/>
        <v>47758000</v>
      </c>
      <c r="J67" s="281">
        <f t="shared" si="21"/>
        <v>9.2780267180367693E-2</v>
      </c>
      <c r="K67" s="281">
        <f t="shared" si="22"/>
        <v>0.12224129988692994</v>
      </c>
      <c r="L67" s="281">
        <f t="shared" si="23"/>
        <v>0.13566313497215127</v>
      </c>
      <c r="M67" s="281">
        <f t="shared" si="24"/>
        <v>0.15067632647933329</v>
      </c>
      <c r="N67" s="281">
        <f t="shared" si="25"/>
        <v>0.15408936722643327</v>
      </c>
      <c r="O67" s="281">
        <f t="shared" si="26"/>
        <v>0.17046358725239749</v>
      </c>
      <c r="P67" s="281">
        <f t="shared" si="27"/>
        <v>0.17408601700238704</v>
      </c>
    </row>
    <row r="68" spans="1:37">
      <c r="A68" s="116" t="s">
        <v>174</v>
      </c>
      <c r="B68" s="105">
        <v>407000</v>
      </c>
      <c r="C68" s="9">
        <v>516000</v>
      </c>
      <c r="D68" s="9">
        <v>575000</v>
      </c>
      <c r="E68" s="9">
        <v>708000</v>
      </c>
      <c r="F68" s="9">
        <v>670000</v>
      </c>
      <c r="G68" s="9">
        <v>757000</v>
      </c>
      <c r="H68" s="9">
        <v>816000</v>
      </c>
      <c r="I68" s="102">
        <f t="shared" si="20"/>
        <v>4449000</v>
      </c>
      <c r="J68" s="204">
        <f t="shared" si="21"/>
        <v>9.1481231737469096E-2</v>
      </c>
      <c r="K68" s="204">
        <f t="shared" si="22"/>
        <v>0.11598111935266352</v>
      </c>
      <c r="L68" s="204">
        <f t="shared" si="23"/>
        <v>0.1292425264104293</v>
      </c>
      <c r="M68" s="204">
        <f t="shared" si="24"/>
        <v>0.15913688469318948</v>
      </c>
      <c r="N68" s="204">
        <f t="shared" si="25"/>
        <v>0.15059563946954371</v>
      </c>
      <c r="O68" s="204">
        <f t="shared" si="26"/>
        <v>0.17015059563946955</v>
      </c>
      <c r="P68" s="204">
        <f t="shared" si="27"/>
        <v>0.18341200269723534</v>
      </c>
    </row>
    <row r="69" spans="1:37">
      <c r="A69" s="118" t="s">
        <v>227</v>
      </c>
      <c r="B69" s="105">
        <v>41000</v>
      </c>
      <c r="C69" s="9">
        <v>74000</v>
      </c>
      <c r="D69" s="9">
        <v>84000</v>
      </c>
      <c r="E69" s="9">
        <v>80000</v>
      </c>
      <c r="F69" s="9">
        <v>75000</v>
      </c>
      <c r="G69" s="9">
        <v>83000</v>
      </c>
      <c r="H69" s="9">
        <v>100000</v>
      </c>
      <c r="I69" s="102">
        <f t="shared" si="20"/>
        <v>537000</v>
      </c>
      <c r="J69" s="204">
        <f t="shared" si="21"/>
        <v>7.6350093109869649E-2</v>
      </c>
      <c r="K69" s="204">
        <f t="shared" si="22"/>
        <v>0.13780260707635009</v>
      </c>
      <c r="L69" s="204">
        <f t="shared" si="23"/>
        <v>0.15642458100558659</v>
      </c>
      <c r="M69" s="204">
        <f t="shared" si="24"/>
        <v>0.148975791433892</v>
      </c>
      <c r="N69" s="204">
        <f t="shared" si="25"/>
        <v>0.13966480446927373</v>
      </c>
      <c r="O69" s="204">
        <f t="shared" si="26"/>
        <v>0.15456238361266295</v>
      </c>
      <c r="P69" s="204">
        <f t="shared" si="27"/>
        <v>0.18621973929236499</v>
      </c>
    </row>
    <row r="70" spans="1:37">
      <c r="A70" s="117" t="s">
        <v>228</v>
      </c>
      <c r="B70" s="105">
        <v>166000</v>
      </c>
      <c r="C70" s="9">
        <v>192000</v>
      </c>
      <c r="D70" s="9">
        <v>211000</v>
      </c>
      <c r="E70" s="9">
        <v>340000</v>
      </c>
      <c r="F70" s="9">
        <v>298000</v>
      </c>
      <c r="G70" s="9">
        <v>340000</v>
      </c>
      <c r="H70" s="9">
        <v>384000</v>
      </c>
      <c r="I70" s="102">
        <f t="shared" si="20"/>
        <v>1931000</v>
      </c>
      <c r="J70" s="204">
        <f t="shared" si="21"/>
        <v>8.59658208182289E-2</v>
      </c>
      <c r="K70" s="204">
        <f t="shared" si="22"/>
        <v>9.9430346970481615E-2</v>
      </c>
      <c r="L70" s="204">
        <f t="shared" si="23"/>
        <v>0.10926980838943552</v>
      </c>
      <c r="M70" s="204">
        <f t="shared" si="24"/>
        <v>0.17607457276022787</v>
      </c>
      <c r="N70" s="204">
        <f t="shared" si="25"/>
        <v>0.15432418436043502</v>
      </c>
      <c r="O70" s="204">
        <f t="shared" si="26"/>
        <v>0.17607457276022787</v>
      </c>
      <c r="P70" s="204">
        <f t="shared" si="27"/>
        <v>0.19886069394096323</v>
      </c>
    </row>
    <row r="71" spans="1:37">
      <c r="A71" s="117" t="s">
        <v>229</v>
      </c>
      <c r="B71" s="105">
        <v>27000</v>
      </c>
      <c r="C71" s="9">
        <v>33000</v>
      </c>
      <c r="D71" s="9">
        <v>28000</v>
      </c>
      <c r="E71" s="9">
        <v>33000</v>
      </c>
      <c r="F71" s="9">
        <v>39000</v>
      </c>
      <c r="G71" s="9">
        <v>37000</v>
      </c>
      <c r="H71" s="9">
        <v>43000</v>
      </c>
      <c r="I71" s="102">
        <f t="shared" si="20"/>
        <v>240000</v>
      </c>
      <c r="J71" s="204">
        <f t="shared" si="21"/>
        <v>0.1125</v>
      </c>
      <c r="K71" s="204">
        <f t="shared" si="22"/>
        <v>0.13750000000000001</v>
      </c>
      <c r="L71" s="204">
        <f t="shared" si="23"/>
        <v>0.11666666666666667</v>
      </c>
      <c r="M71" s="204">
        <f t="shared" si="24"/>
        <v>0.13750000000000001</v>
      </c>
      <c r="N71" s="204">
        <f t="shared" si="25"/>
        <v>0.16250000000000001</v>
      </c>
      <c r="O71" s="204">
        <f t="shared" si="26"/>
        <v>0.15416666666666667</v>
      </c>
      <c r="P71" s="204">
        <f t="shared" si="27"/>
        <v>0.17916666666666667</v>
      </c>
    </row>
    <row r="72" spans="1:37">
      <c r="A72" s="117" t="s">
        <v>230</v>
      </c>
      <c r="B72" s="105">
        <v>119000</v>
      </c>
      <c r="C72" s="9">
        <v>141000</v>
      </c>
      <c r="D72" s="9">
        <v>170000</v>
      </c>
      <c r="E72" s="9">
        <v>164000</v>
      </c>
      <c r="F72" s="9">
        <v>155000</v>
      </c>
      <c r="G72" s="9">
        <v>171000</v>
      </c>
      <c r="H72" s="9">
        <v>180000</v>
      </c>
      <c r="I72" s="102">
        <f t="shared" si="20"/>
        <v>1100000</v>
      </c>
      <c r="J72" s="204">
        <f t="shared" si="21"/>
        <v>0.10818181818181818</v>
      </c>
      <c r="K72" s="204">
        <f t="shared" si="22"/>
        <v>0.12818181818181817</v>
      </c>
      <c r="L72" s="204">
        <f t="shared" si="23"/>
        <v>0.15454545454545454</v>
      </c>
      <c r="M72" s="204">
        <f t="shared" si="24"/>
        <v>0.14909090909090908</v>
      </c>
      <c r="N72" s="204">
        <f t="shared" si="25"/>
        <v>0.1409090909090909</v>
      </c>
      <c r="O72" s="204">
        <f t="shared" si="26"/>
        <v>0.15545454545454546</v>
      </c>
      <c r="P72" s="204">
        <f t="shared" si="27"/>
        <v>0.16363636363636364</v>
      </c>
    </row>
    <row r="73" spans="1:37">
      <c r="A73" s="117" t="s">
        <v>231</v>
      </c>
      <c r="B73" s="105">
        <v>54000</v>
      </c>
      <c r="C73" s="9">
        <v>77000</v>
      </c>
      <c r="D73" s="9">
        <v>82000</v>
      </c>
      <c r="E73" s="9">
        <v>91000</v>
      </c>
      <c r="F73" s="9">
        <v>104000</v>
      </c>
      <c r="G73" s="9">
        <v>126000</v>
      </c>
      <c r="H73" s="9">
        <v>108000</v>
      </c>
      <c r="I73" s="102">
        <f t="shared" si="20"/>
        <v>642000</v>
      </c>
      <c r="J73" s="204">
        <f t="shared" si="21"/>
        <v>8.4112149532710276E-2</v>
      </c>
      <c r="K73" s="204">
        <f t="shared" si="22"/>
        <v>0.11993769470404984</v>
      </c>
      <c r="L73" s="204">
        <f t="shared" si="23"/>
        <v>0.1277258566978193</v>
      </c>
      <c r="M73" s="204">
        <f t="shared" si="24"/>
        <v>0.14174454828660435</v>
      </c>
      <c r="N73" s="204">
        <f t="shared" si="25"/>
        <v>0.16199376947040497</v>
      </c>
      <c r="O73" s="204">
        <f t="shared" si="26"/>
        <v>0.19626168224299065</v>
      </c>
      <c r="P73" s="204">
        <f t="shared" si="27"/>
        <v>0.16822429906542055</v>
      </c>
    </row>
    <row r="74" spans="1:37">
      <c r="A74" s="116" t="s">
        <v>175</v>
      </c>
      <c r="B74" s="105">
        <v>729000</v>
      </c>
      <c r="C74" s="9">
        <v>1043000</v>
      </c>
      <c r="D74" s="9">
        <v>1156000</v>
      </c>
      <c r="E74" s="9">
        <v>1338000</v>
      </c>
      <c r="F74" s="9">
        <v>1405000</v>
      </c>
      <c r="G74" s="9">
        <v>1469000</v>
      </c>
      <c r="H74" s="9">
        <v>1580000</v>
      </c>
      <c r="I74" s="102">
        <f t="shared" si="20"/>
        <v>8720000</v>
      </c>
      <c r="J74" s="204">
        <f t="shared" si="21"/>
        <v>8.3600917431192662E-2</v>
      </c>
      <c r="K74" s="204">
        <f t="shared" si="22"/>
        <v>0.11961009174311926</v>
      </c>
      <c r="L74" s="204">
        <f t="shared" si="23"/>
        <v>0.13256880733944953</v>
      </c>
      <c r="M74" s="204">
        <f t="shared" si="24"/>
        <v>0.15344036697247707</v>
      </c>
      <c r="N74" s="204">
        <f t="shared" si="25"/>
        <v>0.16112385321100917</v>
      </c>
      <c r="O74" s="204">
        <f t="shared" si="26"/>
        <v>0.16846330275229357</v>
      </c>
      <c r="P74" s="204">
        <f t="shared" si="27"/>
        <v>0.18119266055045871</v>
      </c>
    </row>
    <row r="75" spans="1:37">
      <c r="A75" s="116" t="s">
        <v>176</v>
      </c>
      <c r="B75" s="105">
        <v>3295000</v>
      </c>
      <c r="C75" s="9">
        <v>4279000</v>
      </c>
      <c r="D75" s="9">
        <v>4748000</v>
      </c>
      <c r="E75" s="9">
        <v>5150000</v>
      </c>
      <c r="F75" s="9">
        <v>5284000</v>
      </c>
      <c r="G75" s="9">
        <v>5915000</v>
      </c>
      <c r="H75" s="9">
        <v>5918000</v>
      </c>
      <c r="I75" s="102">
        <f t="shared" si="20"/>
        <v>34589000</v>
      </c>
      <c r="J75" s="204">
        <f t="shared" si="21"/>
        <v>9.5261499320593246E-2</v>
      </c>
      <c r="K75" s="204">
        <f t="shared" si="22"/>
        <v>0.12370984995229697</v>
      </c>
      <c r="L75" s="204">
        <f t="shared" si="23"/>
        <v>0.13726907398305821</v>
      </c>
      <c r="M75" s="204">
        <f t="shared" si="24"/>
        <v>0.14889126600942496</v>
      </c>
      <c r="N75" s="204">
        <f t="shared" si="25"/>
        <v>0.15276533001821388</v>
      </c>
      <c r="O75" s="204">
        <f t="shared" si="26"/>
        <v>0.17100812397004828</v>
      </c>
      <c r="P75" s="204">
        <f t="shared" si="27"/>
        <v>0.17109485674636446</v>
      </c>
    </row>
    <row r="76" spans="1:37">
      <c r="A76" s="138" t="s">
        <v>664</v>
      </c>
      <c r="B76" s="136">
        <v>422000</v>
      </c>
      <c r="C76" s="137">
        <v>521000</v>
      </c>
      <c r="D76" s="137">
        <v>597000</v>
      </c>
      <c r="E76" s="137">
        <v>646000</v>
      </c>
      <c r="F76" s="137">
        <v>734000</v>
      </c>
      <c r="G76" s="137">
        <v>900000</v>
      </c>
      <c r="H76" s="137">
        <v>887000</v>
      </c>
      <c r="I76" s="282">
        <f t="shared" si="20"/>
        <v>4707000</v>
      </c>
      <c r="J76" s="283">
        <f t="shared" si="21"/>
        <v>8.9653707244529424E-2</v>
      </c>
      <c r="K76" s="283">
        <f t="shared" si="22"/>
        <v>0.11068621202464415</v>
      </c>
      <c r="L76" s="283">
        <f t="shared" si="23"/>
        <v>0.12683237731038879</v>
      </c>
      <c r="M76" s="283">
        <f t="shared" si="24"/>
        <v>0.13724240492882941</v>
      </c>
      <c r="N76" s="283">
        <f t="shared" si="25"/>
        <v>0.15593796473337582</v>
      </c>
      <c r="O76" s="283">
        <f t="shared" si="26"/>
        <v>0.19120458891013384</v>
      </c>
      <c r="P76" s="283">
        <f t="shared" si="27"/>
        <v>0.18844274484809859</v>
      </c>
    </row>
    <row r="77" spans="1:37">
      <c r="A77" s="139" t="s">
        <v>174</v>
      </c>
      <c r="B77" s="105">
        <v>170000</v>
      </c>
      <c r="C77" s="9">
        <v>215000</v>
      </c>
      <c r="D77" s="9">
        <v>239000</v>
      </c>
      <c r="E77" s="9">
        <v>261000</v>
      </c>
      <c r="F77" s="9">
        <v>279000</v>
      </c>
      <c r="G77" s="9">
        <v>365000</v>
      </c>
      <c r="H77" s="9">
        <v>343000</v>
      </c>
      <c r="I77" s="102">
        <f t="shared" si="20"/>
        <v>1872000</v>
      </c>
      <c r="J77" s="204">
        <f t="shared" si="21"/>
        <v>9.0811965811965809E-2</v>
      </c>
      <c r="K77" s="204">
        <f t="shared" si="22"/>
        <v>0.11485042735042734</v>
      </c>
      <c r="L77" s="204">
        <f t="shared" si="23"/>
        <v>0.12767094017094016</v>
      </c>
      <c r="M77" s="204">
        <f t="shared" si="24"/>
        <v>0.13942307692307693</v>
      </c>
      <c r="N77" s="204">
        <f t="shared" si="25"/>
        <v>0.14903846153846154</v>
      </c>
      <c r="O77" s="204">
        <f t="shared" si="26"/>
        <v>0.19497863247863248</v>
      </c>
      <c r="P77" s="204">
        <f t="shared" si="27"/>
        <v>0.18322649572649571</v>
      </c>
    </row>
    <row r="78" spans="1:37">
      <c r="A78" s="141" t="s">
        <v>227</v>
      </c>
      <c r="B78" s="105">
        <v>55000</v>
      </c>
      <c r="C78" s="9">
        <v>74000</v>
      </c>
      <c r="D78" s="9">
        <v>80000</v>
      </c>
      <c r="E78" s="9">
        <v>88000</v>
      </c>
      <c r="F78" s="9">
        <v>90000</v>
      </c>
      <c r="G78" s="9">
        <v>118000</v>
      </c>
      <c r="H78" s="9">
        <v>118000</v>
      </c>
      <c r="I78" s="102">
        <f t="shared" si="20"/>
        <v>623000</v>
      </c>
      <c r="J78" s="204">
        <f t="shared" si="21"/>
        <v>8.8282504012841087E-2</v>
      </c>
      <c r="K78" s="204">
        <f t="shared" si="22"/>
        <v>0.1187800963081862</v>
      </c>
      <c r="L78" s="204">
        <f t="shared" si="23"/>
        <v>0.12841091492776885</v>
      </c>
      <c r="M78" s="204">
        <f t="shared" si="24"/>
        <v>0.14125200642054575</v>
      </c>
      <c r="N78" s="204">
        <f t="shared" si="25"/>
        <v>0.14446227929373998</v>
      </c>
      <c r="O78" s="204">
        <f t="shared" si="26"/>
        <v>0.18940609951845908</v>
      </c>
      <c r="P78" s="204">
        <f t="shared" si="27"/>
        <v>0.18940609951845908</v>
      </c>
    </row>
    <row r="79" spans="1:37">
      <c r="A79" s="140" t="s">
        <v>228</v>
      </c>
      <c r="B79" s="105">
        <v>20000</v>
      </c>
      <c r="C79" s="9">
        <v>24000</v>
      </c>
      <c r="D79" s="9">
        <v>25000</v>
      </c>
      <c r="E79" s="9">
        <v>30000</v>
      </c>
      <c r="F79" s="9">
        <v>46000</v>
      </c>
      <c r="G79" s="9">
        <v>61000</v>
      </c>
      <c r="H79" s="9">
        <v>51000</v>
      </c>
      <c r="I79" s="102">
        <f t="shared" si="20"/>
        <v>257000</v>
      </c>
      <c r="J79" s="204">
        <f t="shared" si="21"/>
        <v>7.7821011673151752E-2</v>
      </c>
      <c r="K79" s="204">
        <f t="shared" si="22"/>
        <v>9.3385214007782102E-2</v>
      </c>
      <c r="L79" s="204">
        <f t="shared" si="23"/>
        <v>9.727626459143969E-2</v>
      </c>
      <c r="M79" s="204">
        <f t="shared" si="24"/>
        <v>0.11673151750972763</v>
      </c>
      <c r="N79" s="204">
        <f t="shared" si="25"/>
        <v>0.17898832684824903</v>
      </c>
      <c r="O79" s="204">
        <f t="shared" si="26"/>
        <v>0.23735408560311283</v>
      </c>
      <c r="P79" s="204">
        <f t="shared" si="27"/>
        <v>0.19844357976653695</v>
      </c>
    </row>
    <row r="80" spans="1:37">
      <c r="A80" s="140" t="s">
        <v>229</v>
      </c>
      <c r="B80" s="105">
        <v>15000</v>
      </c>
      <c r="C80" s="9">
        <v>22000</v>
      </c>
      <c r="D80" s="9">
        <v>22000</v>
      </c>
      <c r="E80" s="9">
        <v>20000</v>
      </c>
      <c r="F80" s="9">
        <v>19000</v>
      </c>
      <c r="G80" s="9">
        <v>28000</v>
      </c>
      <c r="H80" s="9">
        <v>30000</v>
      </c>
      <c r="I80" s="102">
        <f t="shared" si="20"/>
        <v>156000</v>
      </c>
      <c r="J80" s="204">
        <f t="shared" si="21"/>
        <v>9.6153846153846159E-2</v>
      </c>
      <c r="K80" s="204">
        <f t="shared" si="22"/>
        <v>0.14102564102564102</v>
      </c>
      <c r="L80" s="204">
        <f t="shared" si="23"/>
        <v>0.14102564102564102</v>
      </c>
      <c r="M80" s="204">
        <f t="shared" si="24"/>
        <v>0.12820512820512819</v>
      </c>
      <c r="N80" s="204">
        <f t="shared" si="25"/>
        <v>0.12179487179487179</v>
      </c>
      <c r="O80" s="204">
        <f t="shared" si="26"/>
        <v>0.17948717948717949</v>
      </c>
      <c r="P80" s="204">
        <f t="shared" si="27"/>
        <v>0.19230769230769232</v>
      </c>
    </row>
    <row r="81" spans="1:16">
      <c r="A81" s="140" t="s">
        <v>230</v>
      </c>
      <c r="B81" s="105">
        <v>70000</v>
      </c>
      <c r="C81" s="9">
        <v>79000</v>
      </c>
      <c r="D81" s="9">
        <v>94000</v>
      </c>
      <c r="E81" s="9">
        <v>107000</v>
      </c>
      <c r="F81" s="9">
        <v>108000</v>
      </c>
      <c r="G81" s="9">
        <v>139000</v>
      </c>
      <c r="H81" s="9">
        <v>120000</v>
      </c>
      <c r="I81" s="102">
        <f t="shared" si="20"/>
        <v>717000</v>
      </c>
      <c r="J81" s="204">
        <f t="shared" si="21"/>
        <v>9.7629009762900981E-2</v>
      </c>
      <c r="K81" s="204">
        <f t="shared" si="22"/>
        <v>0.1101813110181311</v>
      </c>
      <c r="L81" s="204">
        <f t="shared" si="23"/>
        <v>0.13110181311018132</v>
      </c>
      <c r="M81" s="204">
        <f t="shared" si="24"/>
        <v>0.14923291492329149</v>
      </c>
      <c r="N81" s="204">
        <f t="shared" si="25"/>
        <v>0.15062761506276151</v>
      </c>
      <c r="O81" s="204">
        <f t="shared" si="26"/>
        <v>0.19386331938633194</v>
      </c>
      <c r="P81" s="204">
        <f t="shared" si="27"/>
        <v>0.16736401673640167</v>
      </c>
    </row>
    <row r="82" spans="1:16">
      <c r="A82" s="140" t="s">
        <v>231</v>
      </c>
      <c r="B82" s="105">
        <v>10000</v>
      </c>
      <c r="C82" s="9">
        <v>17000</v>
      </c>
      <c r="D82" s="9">
        <v>18000</v>
      </c>
      <c r="E82" s="9">
        <v>15000</v>
      </c>
      <c r="F82" s="9">
        <v>16000</v>
      </c>
      <c r="G82" s="9">
        <v>20000</v>
      </c>
      <c r="H82" s="9">
        <v>25000</v>
      </c>
      <c r="I82" s="102">
        <f t="shared" si="20"/>
        <v>121000</v>
      </c>
      <c r="J82" s="204">
        <f t="shared" si="21"/>
        <v>8.2644628099173556E-2</v>
      </c>
      <c r="K82" s="204">
        <f t="shared" si="22"/>
        <v>0.14049586776859505</v>
      </c>
      <c r="L82" s="204">
        <f t="shared" si="23"/>
        <v>0.1487603305785124</v>
      </c>
      <c r="M82" s="204">
        <f t="shared" si="24"/>
        <v>0.12396694214876033</v>
      </c>
      <c r="N82" s="204">
        <f t="shared" si="25"/>
        <v>0.13223140495867769</v>
      </c>
      <c r="O82" s="204">
        <f t="shared" si="26"/>
        <v>0.16528925619834711</v>
      </c>
      <c r="P82" s="204">
        <f t="shared" si="27"/>
        <v>0.20661157024793389</v>
      </c>
    </row>
    <row r="83" spans="1:16">
      <c r="A83" s="139" t="s">
        <v>175</v>
      </c>
      <c r="B83" s="105">
        <v>51000</v>
      </c>
      <c r="C83" s="9">
        <v>86000</v>
      </c>
      <c r="D83" s="9">
        <v>100000</v>
      </c>
      <c r="E83" s="9">
        <v>107000</v>
      </c>
      <c r="F83" s="9">
        <v>126000</v>
      </c>
      <c r="G83" s="9">
        <v>188000</v>
      </c>
      <c r="H83" s="9">
        <v>197000</v>
      </c>
      <c r="I83" s="102">
        <f t="shared" si="20"/>
        <v>855000</v>
      </c>
      <c r="J83" s="204">
        <f t="shared" si="21"/>
        <v>5.9649122807017542E-2</v>
      </c>
      <c r="K83" s="204">
        <f t="shared" si="22"/>
        <v>0.10058479532163743</v>
      </c>
      <c r="L83" s="204">
        <f t="shared" si="23"/>
        <v>0.11695906432748537</v>
      </c>
      <c r="M83" s="204">
        <f t="shared" si="24"/>
        <v>0.12514619883040937</v>
      </c>
      <c r="N83" s="204">
        <f t="shared" si="25"/>
        <v>0.14736842105263157</v>
      </c>
      <c r="O83" s="204">
        <f t="shared" si="26"/>
        <v>0.21988304093567251</v>
      </c>
      <c r="P83" s="204">
        <f t="shared" si="27"/>
        <v>0.2304093567251462</v>
      </c>
    </row>
    <row r="84" spans="1:16">
      <c r="A84" s="139" t="s">
        <v>176</v>
      </c>
      <c r="B84" s="105">
        <v>200000</v>
      </c>
      <c r="C84" s="9">
        <v>220000</v>
      </c>
      <c r="D84" s="9">
        <v>258000</v>
      </c>
      <c r="E84" s="9">
        <v>278000</v>
      </c>
      <c r="F84" s="9">
        <v>328000</v>
      </c>
      <c r="G84" s="9">
        <v>346000</v>
      </c>
      <c r="H84" s="9">
        <v>347000</v>
      </c>
      <c r="I84" s="102">
        <f t="shared" si="20"/>
        <v>1977000</v>
      </c>
      <c r="J84" s="204">
        <f t="shared" si="21"/>
        <v>0.10116337885685382</v>
      </c>
      <c r="K84" s="204">
        <f t="shared" si="22"/>
        <v>0.1112797167425392</v>
      </c>
      <c r="L84" s="204">
        <f t="shared" si="23"/>
        <v>0.13050075872534142</v>
      </c>
      <c r="M84" s="204">
        <f t="shared" si="24"/>
        <v>0.14061709661102681</v>
      </c>
      <c r="N84" s="204">
        <f t="shared" si="25"/>
        <v>0.16590794132524025</v>
      </c>
      <c r="O84" s="204">
        <f t="shared" si="26"/>
        <v>0.17501264542235712</v>
      </c>
      <c r="P84" s="204">
        <f t="shared" si="27"/>
        <v>0.17551846231664137</v>
      </c>
    </row>
    <row r="85" spans="1:16">
      <c r="A85" s="112" t="s">
        <v>665</v>
      </c>
      <c r="B85" s="109">
        <v>736000</v>
      </c>
      <c r="C85" s="104">
        <v>1027000</v>
      </c>
      <c r="D85" s="104">
        <v>1072000</v>
      </c>
      <c r="E85" s="104">
        <v>1170000</v>
      </c>
      <c r="F85" s="104">
        <v>1283000</v>
      </c>
      <c r="G85" s="104">
        <v>1280000</v>
      </c>
      <c r="H85" s="104">
        <v>1466000</v>
      </c>
    </row>
    <row r="86" spans="1:16">
      <c r="A86" s="163" t="s">
        <v>174</v>
      </c>
      <c r="B86" s="105">
        <v>21000</v>
      </c>
      <c r="C86" s="9">
        <v>35000</v>
      </c>
      <c r="D86" s="9">
        <v>35000</v>
      </c>
      <c r="E86" s="9">
        <v>31000</v>
      </c>
      <c r="F86" s="9">
        <v>37000</v>
      </c>
      <c r="G86" s="9">
        <v>36000</v>
      </c>
      <c r="H86" s="9">
        <v>42000</v>
      </c>
    </row>
    <row r="87" spans="1:16">
      <c r="A87" s="201" t="s">
        <v>227</v>
      </c>
      <c r="B87" s="105">
        <v>6000</v>
      </c>
      <c r="C87" s="9">
        <v>8000</v>
      </c>
      <c r="D87" s="9">
        <v>7000</v>
      </c>
      <c r="E87" s="9">
        <v>6000</v>
      </c>
      <c r="F87" s="9">
        <v>7000</v>
      </c>
      <c r="G87" s="9">
        <v>7000</v>
      </c>
      <c r="H87" s="9">
        <v>9000</v>
      </c>
    </row>
    <row r="88" spans="1:16">
      <c r="A88" s="202" t="s">
        <v>228</v>
      </c>
      <c r="B88" s="105">
        <v>3000</v>
      </c>
      <c r="C88" s="13" t="s">
        <v>191</v>
      </c>
      <c r="D88" s="13" t="s">
        <v>191</v>
      </c>
      <c r="E88" s="13" t="s">
        <v>191</v>
      </c>
      <c r="F88" s="13" t="s">
        <v>191</v>
      </c>
      <c r="G88" s="9">
        <v>6000</v>
      </c>
      <c r="H88" s="9">
        <v>6000</v>
      </c>
    </row>
    <row r="89" spans="1:16">
      <c r="A89" s="202" t="s">
        <v>229</v>
      </c>
      <c r="B89" s="162" t="s">
        <v>220</v>
      </c>
      <c r="C89" s="13" t="s">
        <v>220</v>
      </c>
      <c r="D89" s="13" t="s">
        <v>220</v>
      </c>
      <c r="E89" s="13" t="s">
        <v>220</v>
      </c>
      <c r="F89" s="13" t="s">
        <v>220</v>
      </c>
      <c r="G89" s="13" t="s">
        <v>220</v>
      </c>
      <c r="H89" s="13" t="s">
        <v>220</v>
      </c>
    </row>
    <row r="90" spans="1:16">
      <c r="A90" s="202" t="s">
        <v>230</v>
      </c>
      <c r="B90" s="105">
        <v>11000</v>
      </c>
      <c r="C90" s="9">
        <v>23000</v>
      </c>
      <c r="D90" s="9">
        <v>24000</v>
      </c>
      <c r="E90" s="9">
        <v>17000</v>
      </c>
      <c r="F90" s="9">
        <v>25000</v>
      </c>
      <c r="G90" s="9">
        <v>22000</v>
      </c>
      <c r="H90" s="9">
        <v>27000</v>
      </c>
    </row>
    <row r="91" spans="1:16">
      <c r="A91" s="202" t="s">
        <v>231</v>
      </c>
      <c r="B91" s="162" t="s">
        <v>220</v>
      </c>
      <c r="C91" s="13" t="s">
        <v>220</v>
      </c>
      <c r="D91" s="13" t="s">
        <v>220</v>
      </c>
      <c r="E91" s="13" t="s">
        <v>220</v>
      </c>
      <c r="F91" s="13" t="s">
        <v>220</v>
      </c>
      <c r="G91" s="13" t="s">
        <v>220</v>
      </c>
      <c r="H91" s="13" t="s">
        <v>220</v>
      </c>
    </row>
    <row r="92" spans="1:16">
      <c r="A92" s="163" t="s">
        <v>175</v>
      </c>
      <c r="B92" s="105">
        <v>314000</v>
      </c>
      <c r="C92" s="9">
        <v>413000</v>
      </c>
      <c r="D92" s="9">
        <v>474000</v>
      </c>
      <c r="E92" s="9">
        <v>546000</v>
      </c>
      <c r="F92" s="9">
        <v>579000</v>
      </c>
      <c r="G92" s="9">
        <v>607000</v>
      </c>
      <c r="H92" s="9">
        <v>674000</v>
      </c>
    </row>
    <row r="93" spans="1:16">
      <c r="A93" s="163" t="s">
        <v>176</v>
      </c>
      <c r="B93" s="105">
        <v>401000</v>
      </c>
      <c r="C93" s="9">
        <v>578000</v>
      </c>
      <c r="D93" s="9">
        <v>563000</v>
      </c>
      <c r="E93" s="9">
        <v>594000</v>
      </c>
      <c r="F93" s="9">
        <v>667000</v>
      </c>
      <c r="G93" s="9">
        <v>637000</v>
      </c>
      <c r="H93" s="9">
        <v>750000</v>
      </c>
    </row>
    <row r="94" spans="1:16">
      <c r="A94" s="129" t="s">
        <v>657</v>
      </c>
      <c r="B94" s="200">
        <v>17463000</v>
      </c>
      <c r="C94" s="166">
        <v>20644000</v>
      </c>
      <c r="D94" s="166">
        <v>21787000</v>
      </c>
      <c r="E94" s="166">
        <v>22723000</v>
      </c>
      <c r="F94" s="166">
        <v>23323000</v>
      </c>
      <c r="G94" s="166">
        <v>24183000</v>
      </c>
      <c r="H94" s="166">
        <v>25271000</v>
      </c>
      <c r="I94" s="276">
        <f t="shared" ref="I94:I129" si="28">SUM(B94:H94)</f>
        <v>155394000</v>
      </c>
      <c r="J94" s="277">
        <f t="shared" ref="J94:J129" si="29">B94/$I94</f>
        <v>0.11237885632649909</v>
      </c>
      <c r="K94" s="277">
        <f t="shared" ref="K94:K129" si="30">C94/$I94</f>
        <v>0.13284940216481975</v>
      </c>
      <c r="L94" s="277">
        <f t="shared" ref="L94:L129" si="31">D94/$I94</f>
        <v>0.14020489851603021</v>
      </c>
      <c r="M94" s="277">
        <f t="shared" ref="M94:M129" si="32">E94/$I94</f>
        <v>0.14622829710284824</v>
      </c>
      <c r="N94" s="277">
        <f t="shared" ref="N94:N129" si="33">F94/$I94</f>
        <v>0.15008945004311622</v>
      </c>
      <c r="O94" s="277">
        <f t="shared" ref="O94:O129" si="34">G94/$I94</f>
        <v>0.15562376925750029</v>
      </c>
      <c r="P94" s="277">
        <f t="shared" ref="P94:P129" si="35">H94/$I94</f>
        <v>0.16262532658918619</v>
      </c>
    </row>
    <row r="95" spans="1:16">
      <c r="A95" s="130" t="s">
        <v>174</v>
      </c>
      <c r="B95" s="105">
        <v>3385000</v>
      </c>
      <c r="C95" s="9">
        <v>3888000</v>
      </c>
      <c r="D95" s="9">
        <v>4084000</v>
      </c>
      <c r="E95" s="9">
        <v>4590000</v>
      </c>
      <c r="F95" s="9">
        <v>4803000</v>
      </c>
      <c r="G95" s="9">
        <v>5274000</v>
      </c>
      <c r="H95" s="9">
        <v>5594000</v>
      </c>
      <c r="I95" s="102">
        <f t="shared" si="28"/>
        <v>31618000</v>
      </c>
      <c r="J95" s="204">
        <f t="shared" si="29"/>
        <v>0.10705927003605541</v>
      </c>
      <c r="K95" s="204">
        <f t="shared" si="30"/>
        <v>0.12296792966032007</v>
      </c>
      <c r="L95" s="204">
        <f t="shared" si="31"/>
        <v>0.12916693022961603</v>
      </c>
      <c r="M95" s="204">
        <f t="shared" si="32"/>
        <v>0.14517047251565565</v>
      </c>
      <c r="N95" s="204">
        <f t="shared" si="33"/>
        <v>0.15190714150167625</v>
      </c>
      <c r="O95" s="204">
        <f t="shared" si="34"/>
        <v>0.16680371940034158</v>
      </c>
      <c r="P95" s="204">
        <f t="shared" si="35"/>
        <v>0.17692453665633501</v>
      </c>
    </row>
    <row r="96" spans="1:16">
      <c r="A96" s="131" t="s">
        <v>227</v>
      </c>
      <c r="B96" s="105">
        <v>257000</v>
      </c>
      <c r="C96" s="9">
        <v>310000</v>
      </c>
      <c r="D96" s="9">
        <v>328000</v>
      </c>
      <c r="E96" s="9">
        <v>329000</v>
      </c>
      <c r="F96" s="9">
        <v>319000</v>
      </c>
      <c r="G96" s="9">
        <v>361000</v>
      </c>
      <c r="H96" s="9">
        <v>427000</v>
      </c>
      <c r="I96" s="102">
        <f t="shared" si="28"/>
        <v>2331000</v>
      </c>
      <c r="J96" s="204">
        <f t="shared" si="29"/>
        <v>0.11025311025311026</v>
      </c>
      <c r="K96" s="204">
        <f t="shared" si="30"/>
        <v>0.13299013299013299</v>
      </c>
      <c r="L96" s="204">
        <f t="shared" si="31"/>
        <v>0.14071214071214072</v>
      </c>
      <c r="M96" s="204">
        <f t="shared" si="32"/>
        <v>0.14114114114114115</v>
      </c>
      <c r="N96" s="204">
        <f t="shared" si="33"/>
        <v>0.13685113685113684</v>
      </c>
      <c r="O96" s="204">
        <f t="shared" si="34"/>
        <v>0.15486915486915487</v>
      </c>
      <c r="P96" s="204">
        <f t="shared" si="35"/>
        <v>0.18318318318318319</v>
      </c>
    </row>
    <row r="97" spans="1:16">
      <c r="A97" s="131" t="s">
        <v>228</v>
      </c>
      <c r="B97" s="105">
        <v>1378000</v>
      </c>
      <c r="C97" s="9">
        <v>1795000</v>
      </c>
      <c r="D97" s="9">
        <v>1980000</v>
      </c>
      <c r="E97" s="9">
        <v>2323000</v>
      </c>
      <c r="F97" s="9">
        <v>2500000</v>
      </c>
      <c r="G97" s="9">
        <v>2799000</v>
      </c>
      <c r="H97" s="9">
        <v>2979000</v>
      </c>
      <c r="I97" s="102">
        <f t="shared" si="28"/>
        <v>15754000</v>
      </c>
      <c r="J97" s="204">
        <f t="shared" si="29"/>
        <v>8.7469848927256566E-2</v>
      </c>
      <c r="K97" s="204">
        <f t="shared" si="30"/>
        <v>0.11393931699885743</v>
      </c>
      <c r="L97" s="204">
        <f t="shared" si="31"/>
        <v>0.12568236638314079</v>
      </c>
      <c r="M97" s="204">
        <f t="shared" si="32"/>
        <v>0.1474546147010283</v>
      </c>
      <c r="N97" s="204">
        <f t="shared" si="33"/>
        <v>0.15868985654436968</v>
      </c>
      <c r="O97" s="204">
        <f t="shared" si="34"/>
        <v>0.17766916338707631</v>
      </c>
      <c r="P97" s="204">
        <f t="shared" si="35"/>
        <v>0.18909483305827091</v>
      </c>
    </row>
    <row r="98" spans="1:16">
      <c r="A98" s="131" t="s">
        <v>229</v>
      </c>
      <c r="B98" s="105">
        <v>215000</v>
      </c>
      <c r="C98" s="9">
        <v>229000</v>
      </c>
      <c r="D98" s="9">
        <v>224000</v>
      </c>
      <c r="E98" s="9">
        <v>239000</v>
      </c>
      <c r="F98" s="9">
        <v>259000</v>
      </c>
      <c r="G98" s="9">
        <v>267000</v>
      </c>
      <c r="H98" s="9">
        <v>273000</v>
      </c>
      <c r="I98" s="102">
        <f t="shared" si="28"/>
        <v>1706000</v>
      </c>
      <c r="J98" s="204">
        <f t="shared" si="29"/>
        <v>0.12602579132473624</v>
      </c>
      <c r="K98" s="204">
        <f t="shared" si="30"/>
        <v>0.13423212192262601</v>
      </c>
      <c r="L98" s="204">
        <f t="shared" si="31"/>
        <v>0.13130128956623682</v>
      </c>
      <c r="M98" s="204">
        <f t="shared" si="32"/>
        <v>0.14009378663540445</v>
      </c>
      <c r="N98" s="204">
        <f t="shared" si="33"/>
        <v>0.15181711606096132</v>
      </c>
      <c r="O98" s="204">
        <f t="shared" si="34"/>
        <v>0.15650644783118406</v>
      </c>
      <c r="P98" s="204">
        <f t="shared" si="35"/>
        <v>0.16002344665885113</v>
      </c>
    </row>
    <row r="99" spans="1:16">
      <c r="A99" s="131" t="s">
        <v>230</v>
      </c>
      <c r="B99" s="105">
        <v>226000</v>
      </c>
      <c r="C99" s="9">
        <v>223000</v>
      </c>
      <c r="D99" s="9">
        <v>234000</v>
      </c>
      <c r="E99" s="9">
        <v>229000</v>
      </c>
      <c r="F99" s="9">
        <v>266000</v>
      </c>
      <c r="G99" s="9">
        <v>235000</v>
      </c>
      <c r="H99" s="9">
        <v>279000</v>
      </c>
      <c r="I99" s="102">
        <f t="shared" si="28"/>
        <v>1692000</v>
      </c>
      <c r="J99" s="204">
        <f t="shared" si="29"/>
        <v>0.13356973995271867</v>
      </c>
      <c r="K99" s="204">
        <f t="shared" si="30"/>
        <v>0.1317966903073286</v>
      </c>
      <c r="L99" s="204">
        <f t="shared" si="31"/>
        <v>0.13829787234042554</v>
      </c>
      <c r="M99" s="204">
        <f t="shared" si="32"/>
        <v>0.13534278959810875</v>
      </c>
      <c r="N99" s="204">
        <f t="shared" si="33"/>
        <v>0.15721040189125296</v>
      </c>
      <c r="O99" s="204">
        <f t="shared" si="34"/>
        <v>0.1388888888888889</v>
      </c>
      <c r="P99" s="204">
        <f t="shared" si="35"/>
        <v>0.16489361702127658</v>
      </c>
    </row>
    <row r="100" spans="1:16">
      <c r="A100" s="131" t="s">
        <v>231</v>
      </c>
      <c r="B100" s="105">
        <v>1309000</v>
      </c>
      <c r="C100" s="9">
        <v>1331000</v>
      </c>
      <c r="D100" s="9">
        <v>1319000</v>
      </c>
      <c r="E100" s="9">
        <v>1469000</v>
      </c>
      <c r="F100" s="9">
        <v>1459000</v>
      </c>
      <c r="G100" s="9">
        <v>1612000</v>
      </c>
      <c r="H100" s="9">
        <v>1636000</v>
      </c>
      <c r="I100" s="102">
        <f t="shared" si="28"/>
        <v>10135000</v>
      </c>
      <c r="J100" s="204">
        <f t="shared" si="29"/>
        <v>0.12915638875185004</v>
      </c>
      <c r="K100" s="204">
        <f t="shared" si="30"/>
        <v>0.13132708436112481</v>
      </c>
      <c r="L100" s="204">
        <f t="shared" si="31"/>
        <v>0.13014306857424765</v>
      </c>
      <c r="M100" s="204">
        <f t="shared" si="32"/>
        <v>0.14494326591021214</v>
      </c>
      <c r="N100" s="204">
        <f t="shared" si="33"/>
        <v>0.1439565860878145</v>
      </c>
      <c r="O100" s="204">
        <f t="shared" si="34"/>
        <v>0.15905278737049827</v>
      </c>
      <c r="P100" s="204">
        <f t="shared" si="35"/>
        <v>0.16142081894425259</v>
      </c>
    </row>
    <row r="101" spans="1:16">
      <c r="A101" s="130" t="s">
        <v>175</v>
      </c>
      <c r="B101" s="105">
        <v>2341000</v>
      </c>
      <c r="C101" s="9">
        <v>3089000</v>
      </c>
      <c r="D101" s="9">
        <v>3285000</v>
      </c>
      <c r="E101" s="9">
        <v>3309000</v>
      </c>
      <c r="F101" s="9">
        <v>3507000</v>
      </c>
      <c r="G101" s="9">
        <v>3785000</v>
      </c>
      <c r="H101" s="9">
        <v>4028000</v>
      </c>
      <c r="I101" s="102">
        <f t="shared" si="28"/>
        <v>23344000</v>
      </c>
      <c r="J101" s="204">
        <f t="shared" si="29"/>
        <v>0.10028272789581906</v>
      </c>
      <c r="K101" s="204">
        <f t="shared" si="30"/>
        <v>0.13232522275531186</v>
      </c>
      <c r="L101" s="204">
        <f t="shared" si="31"/>
        <v>0.14072138450993832</v>
      </c>
      <c r="M101" s="204">
        <f t="shared" si="32"/>
        <v>0.14174948594928033</v>
      </c>
      <c r="N101" s="204">
        <f t="shared" si="33"/>
        <v>0.15023132282385196</v>
      </c>
      <c r="O101" s="204">
        <f t="shared" si="34"/>
        <v>0.16214016449623028</v>
      </c>
      <c r="P101" s="204">
        <f t="shared" si="35"/>
        <v>0.1725496915695682</v>
      </c>
    </row>
    <row r="102" spans="1:16">
      <c r="A102" s="130" t="s">
        <v>176</v>
      </c>
      <c r="B102" s="105">
        <v>11736000</v>
      </c>
      <c r="C102" s="9">
        <v>13667000</v>
      </c>
      <c r="D102" s="9">
        <v>14418000</v>
      </c>
      <c r="E102" s="9">
        <v>14824000</v>
      </c>
      <c r="F102" s="9">
        <v>15013000</v>
      </c>
      <c r="G102" s="9">
        <v>15125000</v>
      </c>
      <c r="H102" s="9">
        <v>15649000</v>
      </c>
      <c r="I102" s="102">
        <f t="shared" si="28"/>
        <v>100432000</v>
      </c>
      <c r="J102" s="204">
        <f t="shared" si="29"/>
        <v>0.11685518559821571</v>
      </c>
      <c r="K102" s="204">
        <f t="shared" si="30"/>
        <v>0.13608212521905369</v>
      </c>
      <c r="L102" s="204">
        <f t="shared" si="31"/>
        <v>0.14355982157081409</v>
      </c>
      <c r="M102" s="204">
        <f t="shared" si="32"/>
        <v>0.14760235781424247</v>
      </c>
      <c r="N102" s="204">
        <f t="shared" si="33"/>
        <v>0.14948422813445914</v>
      </c>
      <c r="O102" s="204">
        <f t="shared" si="34"/>
        <v>0.15059941054643938</v>
      </c>
      <c r="P102" s="204">
        <f t="shared" si="35"/>
        <v>0.15581687111677553</v>
      </c>
    </row>
    <row r="103" spans="1:16">
      <c r="A103" s="120" t="s">
        <v>658</v>
      </c>
      <c r="B103" s="124">
        <v>10843000</v>
      </c>
      <c r="C103" s="119">
        <v>12761000</v>
      </c>
      <c r="D103" s="119">
        <v>13898000</v>
      </c>
      <c r="E103" s="119">
        <v>14303000</v>
      </c>
      <c r="F103" s="119">
        <v>14606000</v>
      </c>
      <c r="G103" s="119">
        <v>15353000</v>
      </c>
      <c r="H103" s="119">
        <v>15861000</v>
      </c>
      <c r="I103" s="278">
        <f t="shared" si="28"/>
        <v>97625000</v>
      </c>
      <c r="J103" s="279">
        <f>B103/$I103</f>
        <v>0.11106786171574903</v>
      </c>
      <c r="K103" s="279">
        <f t="shared" si="30"/>
        <v>0.13071446862996158</v>
      </c>
      <c r="L103" s="279">
        <f t="shared" si="31"/>
        <v>0.14236107554417413</v>
      </c>
      <c r="M103" s="279">
        <f t="shared" si="32"/>
        <v>0.14650960307298336</v>
      </c>
      <c r="N103" s="279">
        <f t="shared" si="33"/>
        <v>0.14961331626120358</v>
      </c>
      <c r="O103" s="279">
        <f t="shared" si="34"/>
        <v>0.15726504481434059</v>
      </c>
      <c r="P103" s="279">
        <f t="shared" si="35"/>
        <v>0.1624686299615877</v>
      </c>
    </row>
    <row r="104" spans="1:16">
      <c r="A104" s="121" t="s">
        <v>174</v>
      </c>
      <c r="B104" s="105">
        <v>1925000</v>
      </c>
      <c r="C104" s="9">
        <v>2260000</v>
      </c>
      <c r="D104" s="9">
        <v>2457000</v>
      </c>
      <c r="E104" s="9">
        <v>2700000</v>
      </c>
      <c r="F104" s="9">
        <v>2867000</v>
      </c>
      <c r="G104" s="9">
        <v>3142000</v>
      </c>
      <c r="H104" s="9">
        <v>3339000</v>
      </c>
      <c r="I104" s="102">
        <f t="shared" si="28"/>
        <v>18690000</v>
      </c>
      <c r="J104" s="204">
        <f t="shared" si="29"/>
        <v>0.10299625468164794</v>
      </c>
      <c r="K104" s="204">
        <f t="shared" si="30"/>
        <v>0.12092027822364901</v>
      </c>
      <c r="L104" s="204">
        <f t="shared" si="31"/>
        <v>0.13146067415730336</v>
      </c>
      <c r="M104" s="204">
        <f t="shared" si="32"/>
        <v>0.14446227929373998</v>
      </c>
      <c r="N104" s="204">
        <f t="shared" si="33"/>
        <v>0.15339753879079721</v>
      </c>
      <c r="O104" s="204">
        <f t="shared" si="34"/>
        <v>0.16811128945960407</v>
      </c>
      <c r="P104" s="204">
        <f t="shared" si="35"/>
        <v>0.17865168539325843</v>
      </c>
    </row>
    <row r="105" spans="1:16">
      <c r="A105" s="123" t="s">
        <v>227</v>
      </c>
      <c r="B105" s="105">
        <v>84000</v>
      </c>
      <c r="C105" s="9">
        <v>98000</v>
      </c>
      <c r="D105" s="9">
        <v>125000</v>
      </c>
      <c r="E105" s="9">
        <v>114000</v>
      </c>
      <c r="F105" s="9">
        <v>110000</v>
      </c>
      <c r="G105" s="9">
        <v>148000</v>
      </c>
      <c r="H105" s="9">
        <v>155000</v>
      </c>
      <c r="I105" s="102">
        <f t="shared" si="28"/>
        <v>834000</v>
      </c>
      <c r="J105" s="204">
        <f t="shared" si="29"/>
        <v>0.10071942446043165</v>
      </c>
      <c r="K105" s="204">
        <f t="shared" si="30"/>
        <v>0.11750599520383694</v>
      </c>
      <c r="L105" s="204">
        <f t="shared" si="31"/>
        <v>0.1498800959232614</v>
      </c>
      <c r="M105" s="204">
        <f t="shared" si="32"/>
        <v>0.1366906474820144</v>
      </c>
      <c r="N105" s="204">
        <f t="shared" si="33"/>
        <v>0.13189448441247004</v>
      </c>
      <c r="O105" s="204">
        <f t="shared" si="34"/>
        <v>0.17745803357314149</v>
      </c>
      <c r="P105" s="204">
        <f t="shared" si="35"/>
        <v>0.18585131894484413</v>
      </c>
    </row>
    <row r="106" spans="1:16">
      <c r="A106" s="122" t="s">
        <v>228</v>
      </c>
      <c r="B106" s="107">
        <v>880000</v>
      </c>
      <c r="C106" s="7">
        <v>1181000</v>
      </c>
      <c r="D106" s="7">
        <v>1350000</v>
      </c>
      <c r="E106" s="7">
        <v>1522000</v>
      </c>
      <c r="F106" s="7">
        <v>1649000</v>
      </c>
      <c r="G106" s="7">
        <v>1835000</v>
      </c>
      <c r="H106" s="7">
        <v>1961000</v>
      </c>
      <c r="I106" s="102">
        <f t="shared" si="28"/>
        <v>10378000</v>
      </c>
      <c r="J106" s="204">
        <f t="shared" si="29"/>
        <v>8.4794758142223939E-2</v>
      </c>
      <c r="K106" s="204">
        <f t="shared" si="30"/>
        <v>0.1137984197340528</v>
      </c>
      <c r="L106" s="204">
        <f t="shared" si="31"/>
        <v>0.13008286760454807</v>
      </c>
      <c r="M106" s="204">
        <f t="shared" si="32"/>
        <v>0.14665638851416457</v>
      </c>
      <c r="N106" s="204">
        <f t="shared" si="33"/>
        <v>0.1588938138369628</v>
      </c>
      <c r="O106" s="204">
        <f t="shared" si="34"/>
        <v>0.17681634226247833</v>
      </c>
      <c r="P106" s="204">
        <f t="shared" si="35"/>
        <v>0.18895740990556947</v>
      </c>
    </row>
    <row r="107" spans="1:16">
      <c r="A107" s="122" t="s">
        <v>229</v>
      </c>
      <c r="B107" s="105">
        <v>79000</v>
      </c>
      <c r="C107" s="9">
        <v>83000</v>
      </c>
      <c r="D107" s="9">
        <v>79000</v>
      </c>
      <c r="E107" s="9">
        <v>87000</v>
      </c>
      <c r="F107" s="9">
        <v>115000</v>
      </c>
      <c r="G107" s="9">
        <v>112000</v>
      </c>
      <c r="H107" s="9">
        <v>116000</v>
      </c>
      <c r="I107" s="102">
        <f t="shared" si="28"/>
        <v>671000</v>
      </c>
      <c r="J107" s="204">
        <f t="shared" si="29"/>
        <v>0.11773472429210134</v>
      </c>
      <c r="K107" s="204">
        <f t="shared" si="30"/>
        <v>0.12369597615499255</v>
      </c>
      <c r="L107" s="204">
        <f t="shared" si="31"/>
        <v>0.11773472429210134</v>
      </c>
      <c r="M107" s="204">
        <f t="shared" si="32"/>
        <v>0.12965722801788376</v>
      </c>
      <c r="N107" s="204">
        <f t="shared" si="33"/>
        <v>0.17138599105812222</v>
      </c>
      <c r="O107" s="204">
        <f t="shared" si="34"/>
        <v>0.16691505216095381</v>
      </c>
      <c r="P107" s="204">
        <f t="shared" si="35"/>
        <v>0.17287630402384502</v>
      </c>
    </row>
    <row r="108" spans="1:16">
      <c r="A108" s="122" t="s">
        <v>230</v>
      </c>
      <c r="B108" s="105">
        <v>51000</v>
      </c>
      <c r="C108" s="9">
        <v>44000</v>
      </c>
      <c r="D108" s="9">
        <v>49000</v>
      </c>
      <c r="E108" s="9">
        <v>37000</v>
      </c>
      <c r="F108" s="9">
        <v>80000</v>
      </c>
      <c r="G108" s="9">
        <v>52000</v>
      </c>
      <c r="H108" s="9">
        <v>64000</v>
      </c>
      <c r="I108" s="102">
        <f t="shared" si="28"/>
        <v>377000</v>
      </c>
      <c r="J108" s="204">
        <f t="shared" si="29"/>
        <v>0.13527851458885942</v>
      </c>
      <c r="K108" s="204">
        <f t="shared" si="30"/>
        <v>0.11671087533156499</v>
      </c>
      <c r="L108" s="204">
        <f t="shared" si="31"/>
        <v>0.129973474801061</v>
      </c>
      <c r="M108" s="204">
        <f t="shared" si="32"/>
        <v>9.8143236074270557E-2</v>
      </c>
      <c r="N108" s="204">
        <f t="shared" si="33"/>
        <v>0.21220159151193635</v>
      </c>
      <c r="O108" s="204">
        <f t="shared" si="34"/>
        <v>0.13793103448275862</v>
      </c>
      <c r="P108" s="204">
        <f t="shared" si="35"/>
        <v>0.16976127320954906</v>
      </c>
    </row>
    <row r="109" spans="1:16">
      <c r="A109" s="122" t="s">
        <v>231</v>
      </c>
      <c r="B109" s="105">
        <v>831000</v>
      </c>
      <c r="C109" s="9">
        <v>854000</v>
      </c>
      <c r="D109" s="9">
        <v>853000</v>
      </c>
      <c r="E109" s="9">
        <v>940000</v>
      </c>
      <c r="F109" s="9">
        <v>912000</v>
      </c>
      <c r="G109" s="9">
        <v>995000</v>
      </c>
      <c r="H109" s="9">
        <v>1043000</v>
      </c>
      <c r="I109" s="102">
        <f t="shared" si="28"/>
        <v>6428000</v>
      </c>
      <c r="J109" s="204">
        <f t="shared" si="29"/>
        <v>0.12927815805849407</v>
      </c>
      <c r="K109" s="204">
        <f t="shared" si="30"/>
        <v>0.13285625388923461</v>
      </c>
      <c r="L109" s="204">
        <f t="shared" si="31"/>
        <v>0.13270068450528935</v>
      </c>
      <c r="M109" s="204">
        <f t="shared" si="32"/>
        <v>0.1462352209085252</v>
      </c>
      <c r="N109" s="204">
        <f t="shared" si="33"/>
        <v>0.14187927815805848</v>
      </c>
      <c r="O109" s="204">
        <f t="shared" si="34"/>
        <v>0.15479153702551338</v>
      </c>
      <c r="P109" s="204">
        <f t="shared" si="35"/>
        <v>0.16225886745488488</v>
      </c>
    </row>
    <row r="110" spans="1:16">
      <c r="A110" s="121" t="s">
        <v>175</v>
      </c>
      <c r="B110" s="105">
        <v>1060000</v>
      </c>
      <c r="C110" s="9">
        <v>1450000</v>
      </c>
      <c r="D110" s="9">
        <v>1571000</v>
      </c>
      <c r="E110" s="9">
        <v>1655000</v>
      </c>
      <c r="F110" s="9">
        <v>1685000</v>
      </c>
      <c r="G110" s="9">
        <v>1949000</v>
      </c>
      <c r="H110" s="9">
        <v>1988000</v>
      </c>
      <c r="I110" s="102">
        <f t="shared" si="28"/>
        <v>11358000</v>
      </c>
      <c r="J110" s="204">
        <f t="shared" si="29"/>
        <v>9.3326289839760518E-2</v>
      </c>
      <c r="K110" s="204">
        <f t="shared" si="30"/>
        <v>0.12766332100721958</v>
      </c>
      <c r="L110" s="204">
        <f t="shared" si="31"/>
        <v>0.13831660503609791</v>
      </c>
      <c r="M110" s="204">
        <f t="shared" si="32"/>
        <v>0.14571227328755063</v>
      </c>
      <c r="N110" s="204">
        <f t="shared" si="33"/>
        <v>0.14835358337735516</v>
      </c>
      <c r="O110" s="204">
        <f t="shared" si="34"/>
        <v>0.17159711216763515</v>
      </c>
      <c r="P110" s="204">
        <f t="shared" si="35"/>
        <v>0.17503081528438105</v>
      </c>
    </row>
    <row r="111" spans="1:16">
      <c r="A111" s="121" t="s">
        <v>176</v>
      </c>
      <c r="B111" s="105">
        <v>7858000</v>
      </c>
      <c r="C111" s="9">
        <v>9052000</v>
      </c>
      <c r="D111" s="9">
        <v>9871000</v>
      </c>
      <c r="E111" s="9">
        <v>9948000</v>
      </c>
      <c r="F111" s="9">
        <v>10055000</v>
      </c>
      <c r="G111" s="9">
        <v>10262000</v>
      </c>
      <c r="H111" s="9">
        <v>10534000</v>
      </c>
      <c r="I111" s="102">
        <f t="shared" si="28"/>
        <v>67580000</v>
      </c>
      <c r="J111" s="204">
        <f t="shared" si="29"/>
        <v>0.11627700503107428</v>
      </c>
      <c r="K111" s="204">
        <f t="shared" si="30"/>
        <v>0.13394495412844037</v>
      </c>
      <c r="L111" s="204">
        <f t="shared" si="31"/>
        <v>0.14606392423794021</v>
      </c>
      <c r="M111" s="204">
        <f t="shared" si="32"/>
        <v>0.14720331459011543</v>
      </c>
      <c r="N111" s="204">
        <f t="shared" si="33"/>
        <v>0.14878662326131992</v>
      </c>
      <c r="O111" s="204">
        <f t="shared" si="34"/>
        <v>0.15184965966262207</v>
      </c>
      <c r="P111" s="204">
        <f t="shared" si="35"/>
        <v>0.15587451908848771</v>
      </c>
    </row>
    <row r="112" spans="1:16">
      <c r="A112" s="115" t="s">
        <v>659</v>
      </c>
      <c r="B112" s="144">
        <v>4247000</v>
      </c>
      <c r="C112" s="143">
        <v>5280000</v>
      </c>
      <c r="D112" s="143">
        <v>5249000</v>
      </c>
      <c r="E112" s="143">
        <v>5692000</v>
      </c>
      <c r="F112" s="143">
        <v>5901000</v>
      </c>
      <c r="G112" s="143">
        <v>6017000</v>
      </c>
      <c r="H112" s="143">
        <v>6375000</v>
      </c>
      <c r="I112" s="280">
        <f t="shared" si="28"/>
        <v>38761000</v>
      </c>
      <c r="J112" s="281">
        <f t="shared" si="29"/>
        <v>0.10956889657129588</v>
      </c>
      <c r="K112" s="281">
        <f t="shared" si="30"/>
        <v>0.13621939578442249</v>
      </c>
      <c r="L112" s="281">
        <f t="shared" si="31"/>
        <v>0.1354196228167488</v>
      </c>
      <c r="M112" s="281">
        <f t="shared" si="32"/>
        <v>0.14684863651608576</v>
      </c>
      <c r="N112" s="281">
        <f t="shared" si="33"/>
        <v>0.15224065426588582</v>
      </c>
      <c r="O112" s="281">
        <f t="shared" si="34"/>
        <v>0.15523335311266478</v>
      </c>
      <c r="P112" s="281">
        <f t="shared" si="35"/>
        <v>0.16446944093289648</v>
      </c>
    </row>
    <row r="113" spans="1:16">
      <c r="A113" s="116" t="s">
        <v>174</v>
      </c>
      <c r="B113" s="105">
        <v>999000</v>
      </c>
      <c r="C113" s="9">
        <v>1129000</v>
      </c>
      <c r="D113" s="9">
        <v>1114000</v>
      </c>
      <c r="E113" s="9">
        <v>1367000</v>
      </c>
      <c r="F113" s="9">
        <v>1399000</v>
      </c>
      <c r="G113" s="9">
        <v>1529000</v>
      </c>
      <c r="H113" s="9">
        <v>1595000</v>
      </c>
      <c r="I113" s="102">
        <f t="shared" si="28"/>
        <v>9132000</v>
      </c>
      <c r="J113" s="204">
        <f t="shared" si="29"/>
        <v>0.10939553219448095</v>
      </c>
      <c r="K113" s="204">
        <f t="shared" si="30"/>
        <v>0.12363118703460359</v>
      </c>
      <c r="L113" s="204">
        <f t="shared" si="31"/>
        <v>0.1219886114761279</v>
      </c>
      <c r="M113" s="204">
        <f t="shared" si="32"/>
        <v>0.14969338589575121</v>
      </c>
      <c r="N113" s="204">
        <f t="shared" si="33"/>
        <v>0.15319754708716601</v>
      </c>
      <c r="O113" s="204">
        <f t="shared" si="34"/>
        <v>0.16743320192728867</v>
      </c>
      <c r="P113" s="204">
        <f t="shared" si="35"/>
        <v>0.17466053438458168</v>
      </c>
    </row>
    <row r="114" spans="1:16">
      <c r="A114" s="118" t="s">
        <v>227</v>
      </c>
      <c r="B114" s="105">
        <v>54000</v>
      </c>
      <c r="C114" s="9">
        <v>78000</v>
      </c>
      <c r="D114" s="9">
        <v>74000</v>
      </c>
      <c r="E114" s="9">
        <v>88000</v>
      </c>
      <c r="F114" s="9">
        <v>74000</v>
      </c>
      <c r="G114" s="9">
        <v>69000</v>
      </c>
      <c r="H114" s="9">
        <v>88000</v>
      </c>
      <c r="I114" s="102">
        <f t="shared" si="28"/>
        <v>525000</v>
      </c>
      <c r="J114" s="204">
        <f t="shared" si="29"/>
        <v>0.10285714285714286</v>
      </c>
      <c r="K114" s="204">
        <f t="shared" si="30"/>
        <v>0.14857142857142858</v>
      </c>
      <c r="L114" s="204">
        <f t="shared" si="31"/>
        <v>0.14095238095238094</v>
      </c>
      <c r="M114" s="204">
        <f t="shared" si="32"/>
        <v>0.16761904761904761</v>
      </c>
      <c r="N114" s="204">
        <f t="shared" si="33"/>
        <v>0.14095238095238094</v>
      </c>
      <c r="O114" s="204">
        <f t="shared" si="34"/>
        <v>0.13142857142857142</v>
      </c>
      <c r="P114" s="204">
        <f t="shared" si="35"/>
        <v>0.16761904761904761</v>
      </c>
    </row>
    <row r="115" spans="1:16">
      <c r="A115" s="117" t="s">
        <v>228</v>
      </c>
      <c r="B115" s="105">
        <v>415000</v>
      </c>
      <c r="C115" s="9">
        <v>525000</v>
      </c>
      <c r="D115" s="9">
        <v>533000</v>
      </c>
      <c r="E115" s="9">
        <v>708000</v>
      </c>
      <c r="F115" s="9">
        <v>741000</v>
      </c>
      <c r="G115" s="9">
        <v>828000</v>
      </c>
      <c r="H115" s="9">
        <v>867000</v>
      </c>
      <c r="I115" s="102">
        <f t="shared" si="28"/>
        <v>4617000</v>
      </c>
      <c r="J115" s="204">
        <f t="shared" si="29"/>
        <v>8.9885206844271176E-2</v>
      </c>
      <c r="K115" s="204">
        <f t="shared" si="30"/>
        <v>0.11371020142949967</v>
      </c>
      <c r="L115" s="204">
        <f t="shared" si="31"/>
        <v>0.11544292830842538</v>
      </c>
      <c r="M115" s="204">
        <f t="shared" si="32"/>
        <v>0.15334632878492527</v>
      </c>
      <c r="N115" s="204">
        <f t="shared" si="33"/>
        <v>0.16049382716049382</v>
      </c>
      <c r="O115" s="204">
        <f t="shared" si="34"/>
        <v>0.17933723196881091</v>
      </c>
      <c r="P115" s="204">
        <f t="shared" si="35"/>
        <v>0.18778427550357374</v>
      </c>
    </row>
    <row r="116" spans="1:16">
      <c r="A116" s="117" t="s">
        <v>229</v>
      </c>
      <c r="B116" s="105">
        <v>55000</v>
      </c>
      <c r="C116" s="9">
        <v>54000</v>
      </c>
      <c r="D116" s="9">
        <v>55000</v>
      </c>
      <c r="E116" s="9">
        <v>53000</v>
      </c>
      <c r="F116" s="9">
        <v>59000</v>
      </c>
      <c r="G116" s="9">
        <v>60000</v>
      </c>
      <c r="H116" s="9">
        <v>61000</v>
      </c>
      <c r="I116" s="102">
        <f t="shared" si="28"/>
        <v>397000</v>
      </c>
      <c r="J116" s="204">
        <f t="shared" si="29"/>
        <v>0.1385390428211587</v>
      </c>
      <c r="K116" s="204">
        <f t="shared" si="30"/>
        <v>0.13602015113350127</v>
      </c>
      <c r="L116" s="204">
        <f t="shared" si="31"/>
        <v>0.1385390428211587</v>
      </c>
      <c r="M116" s="204">
        <f t="shared" si="32"/>
        <v>0.13350125944584382</v>
      </c>
      <c r="N116" s="204">
        <f t="shared" si="33"/>
        <v>0.1486146095717884</v>
      </c>
      <c r="O116" s="204">
        <f t="shared" si="34"/>
        <v>0.15113350125944586</v>
      </c>
      <c r="P116" s="204">
        <f t="shared" si="35"/>
        <v>0.15365239294710328</v>
      </c>
    </row>
    <row r="117" spans="1:16">
      <c r="A117" s="117" t="s">
        <v>230</v>
      </c>
      <c r="B117" s="105">
        <v>86000</v>
      </c>
      <c r="C117" s="9">
        <v>77000</v>
      </c>
      <c r="D117" s="9">
        <v>79000</v>
      </c>
      <c r="E117" s="9">
        <v>85000</v>
      </c>
      <c r="F117" s="9">
        <v>80000</v>
      </c>
      <c r="G117" s="9">
        <v>78000</v>
      </c>
      <c r="H117" s="9">
        <v>102000</v>
      </c>
      <c r="I117" s="102">
        <f t="shared" si="28"/>
        <v>587000</v>
      </c>
      <c r="J117" s="204">
        <f t="shared" si="29"/>
        <v>0.1465076660988075</v>
      </c>
      <c r="K117" s="204">
        <f t="shared" si="30"/>
        <v>0.131175468483816</v>
      </c>
      <c r="L117" s="204">
        <f t="shared" si="31"/>
        <v>0.13458262350936967</v>
      </c>
      <c r="M117" s="204">
        <f t="shared" si="32"/>
        <v>0.14480408858603067</v>
      </c>
      <c r="N117" s="204">
        <f t="shared" si="33"/>
        <v>0.1362862010221465</v>
      </c>
      <c r="O117" s="204">
        <f t="shared" si="34"/>
        <v>0.13287904599659284</v>
      </c>
      <c r="P117" s="204">
        <f t="shared" si="35"/>
        <v>0.17376490630323679</v>
      </c>
    </row>
    <row r="118" spans="1:16">
      <c r="A118" s="117" t="s">
        <v>231</v>
      </c>
      <c r="B118" s="105">
        <v>389000</v>
      </c>
      <c r="C118" s="9">
        <v>395000</v>
      </c>
      <c r="D118" s="9">
        <v>374000</v>
      </c>
      <c r="E118" s="9">
        <v>434000</v>
      </c>
      <c r="F118" s="9">
        <v>445000</v>
      </c>
      <c r="G118" s="9">
        <v>493000</v>
      </c>
      <c r="H118" s="9">
        <v>476000</v>
      </c>
      <c r="I118" s="102">
        <f t="shared" si="28"/>
        <v>3006000</v>
      </c>
      <c r="J118" s="204">
        <f t="shared" si="29"/>
        <v>0.1294078509647372</v>
      </c>
      <c r="K118" s="204">
        <f t="shared" si="30"/>
        <v>0.13140385894876913</v>
      </c>
      <c r="L118" s="204">
        <f t="shared" si="31"/>
        <v>0.12441783100465735</v>
      </c>
      <c r="M118" s="204">
        <f t="shared" si="32"/>
        <v>0.14437791084497673</v>
      </c>
      <c r="N118" s="204">
        <f t="shared" si="33"/>
        <v>0.14803725881570193</v>
      </c>
      <c r="O118" s="204">
        <f t="shared" si="34"/>
        <v>0.16400532268795742</v>
      </c>
      <c r="P118" s="204">
        <f t="shared" si="35"/>
        <v>0.15834996673320026</v>
      </c>
    </row>
    <row r="119" spans="1:16">
      <c r="A119" s="116" t="s">
        <v>175</v>
      </c>
      <c r="B119" s="105">
        <v>479000</v>
      </c>
      <c r="C119" s="9">
        <v>721000</v>
      </c>
      <c r="D119" s="9">
        <v>790000</v>
      </c>
      <c r="E119" s="9">
        <v>726000</v>
      </c>
      <c r="F119" s="9">
        <v>857000</v>
      </c>
      <c r="G119" s="9">
        <v>864000</v>
      </c>
      <c r="H119" s="9">
        <v>998000</v>
      </c>
      <c r="I119" s="102">
        <f t="shared" si="28"/>
        <v>5435000</v>
      </c>
      <c r="J119" s="204">
        <f t="shared" si="29"/>
        <v>8.8132474701011959E-2</v>
      </c>
      <c r="K119" s="204">
        <f t="shared" si="30"/>
        <v>0.13265869365225391</v>
      </c>
      <c r="L119" s="204">
        <f t="shared" si="31"/>
        <v>0.14535418583256671</v>
      </c>
      <c r="M119" s="204">
        <f t="shared" si="32"/>
        <v>0.13357865685372586</v>
      </c>
      <c r="N119" s="204">
        <f t="shared" si="33"/>
        <v>0.15768169273229071</v>
      </c>
      <c r="O119" s="204">
        <f t="shared" si="34"/>
        <v>0.15896964121435142</v>
      </c>
      <c r="P119" s="204">
        <f t="shared" si="35"/>
        <v>0.18362465501379946</v>
      </c>
    </row>
    <row r="120" spans="1:16">
      <c r="A120" s="116" t="s">
        <v>176</v>
      </c>
      <c r="B120" s="105">
        <v>2769000</v>
      </c>
      <c r="C120" s="9">
        <v>3430000</v>
      </c>
      <c r="D120" s="9">
        <v>3346000</v>
      </c>
      <c r="E120" s="9">
        <v>3599000</v>
      </c>
      <c r="F120" s="9">
        <v>3645000</v>
      </c>
      <c r="G120" s="9">
        <v>3625000</v>
      </c>
      <c r="H120" s="9">
        <v>3781000</v>
      </c>
      <c r="I120" s="102">
        <f t="shared" si="28"/>
        <v>24195000</v>
      </c>
      <c r="J120" s="204">
        <f t="shared" si="29"/>
        <v>0.11444513329200248</v>
      </c>
      <c r="K120" s="204">
        <f t="shared" si="30"/>
        <v>0.14176482744368671</v>
      </c>
      <c r="L120" s="204">
        <f t="shared" si="31"/>
        <v>0.13829303575118826</v>
      </c>
      <c r="M120" s="204">
        <f t="shared" si="32"/>
        <v>0.14874974168216573</v>
      </c>
      <c r="N120" s="204">
        <f t="shared" si="33"/>
        <v>0.15065096094234345</v>
      </c>
      <c r="O120" s="204">
        <f t="shared" si="34"/>
        <v>0.14982434387270097</v>
      </c>
      <c r="P120" s="204">
        <f t="shared" si="35"/>
        <v>0.15627195701591237</v>
      </c>
    </row>
    <row r="121" spans="1:16">
      <c r="A121" s="138" t="s">
        <v>660</v>
      </c>
      <c r="B121" s="136">
        <v>849000</v>
      </c>
      <c r="C121" s="137">
        <v>979000</v>
      </c>
      <c r="D121" s="137">
        <v>954000</v>
      </c>
      <c r="E121" s="137">
        <v>996000</v>
      </c>
      <c r="F121" s="137">
        <v>1062000</v>
      </c>
      <c r="G121" s="137">
        <v>1190000</v>
      </c>
      <c r="H121" s="137">
        <v>1254000</v>
      </c>
      <c r="I121" s="282">
        <f t="shared" si="28"/>
        <v>7284000</v>
      </c>
      <c r="J121" s="283">
        <f t="shared" si="29"/>
        <v>0.11655683690280066</v>
      </c>
      <c r="K121" s="283">
        <f t="shared" si="30"/>
        <v>0.1344041735310269</v>
      </c>
      <c r="L121" s="283">
        <f t="shared" si="31"/>
        <v>0.13097199341021418</v>
      </c>
      <c r="M121" s="283">
        <f t="shared" si="32"/>
        <v>0.13673805601317957</v>
      </c>
      <c r="N121" s="283">
        <f t="shared" si="33"/>
        <v>0.14579901153212521</v>
      </c>
      <c r="O121" s="283">
        <f t="shared" si="34"/>
        <v>0.16337177375068643</v>
      </c>
      <c r="P121" s="283">
        <f t="shared" si="35"/>
        <v>0.17215815485996705</v>
      </c>
    </row>
    <row r="122" spans="1:16">
      <c r="A122" s="139" t="s">
        <v>174</v>
      </c>
      <c r="B122" s="105">
        <v>434000</v>
      </c>
      <c r="C122" s="9">
        <v>477000</v>
      </c>
      <c r="D122" s="9">
        <v>485000</v>
      </c>
      <c r="E122" s="9">
        <v>490000</v>
      </c>
      <c r="F122" s="9">
        <v>507000</v>
      </c>
      <c r="G122" s="9">
        <v>573000</v>
      </c>
      <c r="H122" s="9">
        <v>619000</v>
      </c>
      <c r="I122" s="102">
        <f t="shared" si="28"/>
        <v>3585000</v>
      </c>
      <c r="J122" s="204">
        <f t="shared" si="29"/>
        <v>0.12105997210599721</v>
      </c>
      <c r="K122" s="204">
        <f t="shared" si="30"/>
        <v>0.13305439330543933</v>
      </c>
      <c r="L122" s="204">
        <f t="shared" si="31"/>
        <v>0.13528591352859135</v>
      </c>
      <c r="M122" s="204">
        <f t="shared" si="32"/>
        <v>0.13668061366806136</v>
      </c>
      <c r="N122" s="204">
        <f t="shared" si="33"/>
        <v>0.14142259414225941</v>
      </c>
      <c r="O122" s="204">
        <f t="shared" si="34"/>
        <v>0.15983263598326361</v>
      </c>
      <c r="P122" s="204">
        <f t="shared" si="35"/>
        <v>0.17266387726638774</v>
      </c>
    </row>
    <row r="123" spans="1:16">
      <c r="A123" s="141" t="s">
        <v>227</v>
      </c>
      <c r="B123" s="105">
        <v>109000</v>
      </c>
      <c r="C123" s="9">
        <v>125000</v>
      </c>
      <c r="D123" s="9">
        <v>122000</v>
      </c>
      <c r="E123" s="9">
        <v>119000</v>
      </c>
      <c r="F123" s="9">
        <v>127000</v>
      </c>
      <c r="G123" s="9">
        <v>137000</v>
      </c>
      <c r="H123" s="9">
        <v>173000</v>
      </c>
      <c r="I123" s="102">
        <f t="shared" si="28"/>
        <v>912000</v>
      </c>
      <c r="J123" s="204">
        <f t="shared" si="29"/>
        <v>0.11951754385964912</v>
      </c>
      <c r="K123" s="204">
        <f t="shared" si="30"/>
        <v>0.13706140350877194</v>
      </c>
      <c r="L123" s="204">
        <f t="shared" si="31"/>
        <v>0.1337719298245614</v>
      </c>
      <c r="M123" s="204">
        <f t="shared" si="32"/>
        <v>0.13048245614035087</v>
      </c>
      <c r="N123" s="204">
        <f t="shared" si="33"/>
        <v>0.13925438596491227</v>
      </c>
      <c r="O123" s="204">
        <f t="shared" si="34"/>
        <v>0.15021929824561403</v>
      </c>
      <c r="P123" s="204">
        <f t="shared" si="35"/>
        <v>0.18969298245614036</v>
      </c>
    </row>
    <row r="124" spans="1:16">
      <c r="A124" s="140" t="s">
        <v>228</v>
      </c>
      <c r="B124" s="105">
        <v>75000</v>
      </c>
      <c r="C124" s="9">
        <v>85000</v>
      </c>
      <c r="D124" s="9">
        <v>87000</v>
      </c>
      <c r="E124" s="9">
        <v>87000</v>
      </c>
      <c r="F124" s="9">
        <v>104000</v>
      </c>
      <c r="G124" s="9">
        <v>128000</v>
      </c>
      <c r="H124" s="9">
        <v>134000</v>
      </c>
      <c r="I124" s="102">
        <f t="shared" si="28"/>
        <v>700000</v>
      </c>
      <c r="J124" s="204">
        <f t="shared" si="29"/>
        <v>0.10714285714285714</v>
      </c>
      <c r="K124" s="204">
        <f t="shared" si="30"/>
        <v>0.12142857142857143</v>
      </c>
      <c r="L124" s="204">
        <f t="shared" si="31"/>
        <v>0.12428571428571429</v>
      </c>
      <c r="M124" s="204">
        <f t="shared" si="32"/>
        <v>0.12428571428571429</v>
      </c>
      <c r="N124" s="204">
        <f t="shared" si="33"/>
        <v>0.14857142857142858</v>
      </c>
      <c r="O124" s="204">
        <f t="shared" si="34"/>
        <v>0.18285714285714286</v>
      </c>
      <c r="P124" s="204">
        <f t="shared" si="35"/>
        <v>0.19142857142857142</v>
      </c>
    </row>
    <row r="125" spans="1:16">
      <c r="A125" s="140" t="s">
        <v>229</v>
      </c>
      <c r="B125" s="105">
        <v>79000</v>
      </c>
      <c r="C125" s="9">
        <v>92000</v>
      </c>
      <c r="D125" s="9">
        <v>90000</v>
      </c>
      <c r="E125" s="9">
        <v>99000</v>
      </c>
      <c r="F125" s="9">
        <v>82000</v>
      </c>
      <c r="G125" s="9">
        <v>94000</v>
      </c>
      <c r="H125" s="9">
        <v>95000</v>
      </c>
      <c r="I125" s="102">
        <f t="shared" si="28"/>
        <v>631000</v>
      </c>
      <c r="J125" s="204">
        <f t="shared" si="29"/>
        <v>0.12519809825673534</v>
      </c>
      <c r="K125" s="204">
        <f t="shared" si="30"/>
        <v>0.14580031695721077</v>
      </c>
      <c r="L125" s="204">
        <f t="shared" si="31"/>
        <v>0.14263074484944532</v>
      </c>
      <c r="M125" s="204">
        <f t="shared" si="32"/>
        <v>0.15689381933438987</v>
      </c>
      <c r="N125" s="204">
        <f t="shared" si="33"/>
        <v>0.12995245641838352</v>
      </c>
      <c r="O125" s="204">
        <f t="shared" si="34"/>
        <v>0.14896988906497624</v>
      </c>
      <c r="P125" s="204">
        <f t="shared" si="35"/>
        <v>0.15055467511885895</v>
      </c>
    </row>
    <row r="126" spans="1:16">
      <c r="A126" s="140" t="s">
        <v>230</v>
      </c>
      <c r="B126" s="105">
        <v>84000</v>
      </c>
      <c r="C126" s="9">
        <v>94000</v>
      </c>
      <c r="D126" s="9">
        <v>95000</v>
      </c>
      <c r="E126" s="9">
        <v>94000</v>
      </c>
      <c r="F126" s="9">
        <v>93000</v>
      </c>
      <c r="G126" s="9">
        <v>95000</v>
      </c>
      <c r="H126" s="9">
        <v>101000</v>
      </c>
      <c r="I126" s="102">
        <f t="shared" si="28"/>
        <v>656000</v>
      </c>
      <c r="J126" s="204">
        <f t="shared" si="29"/>
        <v>0.12804878048780488</v>
      </c>
      <c r="K126" s="204">
        <f t="shared" si="30"/>
        <v>0.14329268292682926</v>
      </c>
      <c r="L126" s="204">
        <f t="shared" si="31"/>
        <v>0.1448170731707317</v>
      </c>
      <c r="M126" s="204">
        <f t="shared" si="32"/>
        <v>0.14329268292682926</v>
      </c>
      <c r="N126" s="204">
        <f t="shared" si="33"/>
        <v>0.14176829268292682</v>
      </c>
      <c r="O126" s="204">
        <f t="shared" si="34"/>
        <v>0.1448170731707317</v>
      </c>
      <c r="P126" s="204">
        <f t="shared" si="35"/>
        <v>0.15396341463414634</v>
      </c>
    </row>
    <row r="127" spans="1:16">
      <c r="A127" s="140" t="s">
        <v>231</v>
      </c>
      <c r="B127" s="105">
        <v>88000</v>
      </c>
      <c r="C127" s="9">
        <v>81000</v>
      </c>
      <c r="D127" s="9">
        <v>90000</v>
      </c>
      <c r="E127" s="9">
        <v>92000</v>
      </c>
      <c r="F127" s="9">
        <v>101000</v>
      </c>
      <c r="G127" s="9">
        <v>119000</v>
      </c>
      <c r="H127" s="9">
        <v>116000</v>
      </c>
      <c r="I127" s="102">
        <f t="shared" si="28"/>
        <v>687000</v>
      </c>
      <c r="J127" s="204">
        <f t="shared" si="29"/>
        <v>0.12809315866084425</v>
      </c>
      <c r="K127" s="204">
        <f t="shared" si="30"/>
        <v>0.11790393013100436</v>
      </c>
      <c r="L127" s="204">
        <f t="shared" si="31"/>
        <v>0.13100436681222707</v>
      </c>
      <c r="M127" s="204">
        <f t="shared" si="32"/>
        <v>0.1339155749636099</v>
      </c>
      <c r="N127" s="204">
        <f t="shared" si="33"/>
        <v>0.14701601164483261</v>
      </c>
      <c r="O127" s="204">
        <f t="shared" si="34"/>
        <v>0.17321688500727803</v>
      </c>
      <c r="P127" s="204">
        <f t="shared" si="35"/>
        <v>0.16885007278020378</v>
      </c>
    </row>
    <row r="128" spans="1:16">
      <c r="A128" s="139" t="s">
        <v>175</v>
      </c>
      <c r="B128" s="105">
        <v>72000</v>
      </c>
      <c r="C128" s="9">
        <v>138000</v>
      </c>
      <c r="D128" s="9">
        <v>136000</v>
      </c>
      <c r="E128" s="9">
        <v>122000</v>
      </c>
      <c r="F128" s="9">
        <v>140000</v>
      </c>
      <c r="G128" s="9">
        <v>199000</v>
      </c>
      <c r="H128" s="9">
        <v>177000</v>
      </c>
      <c r="I128" s="102">
        <f t="shared" si="28"/>
        <v>984000</v>
      </c>
      <c r="J128" s="204">
        <f t="shared" si="29"/>
        <v>7.3170731707317069E-2</v>
      </c>
      <c r="K128" s="204">
        <f t="shared" si="30"/>
        <v>0.1402439024390244</v>
      </c>
      <c r="L128" s="204">
        <f t="shared" si="31"/>
        <v>0.13821138211382114</v>
      </c>
      <c r="M128" s="204">
        <f t="shared" si="32"/>
        <v>0.12398373983739837</v>
      </c>
      <c r="N128" s="204">
        <f t="shared" si="33"/>
        <v>0.14227642276422764</v>
      </c>
      <c r="O128" s="204">
        <f t="shared" si="34"/>
        <v>0.20223577235772358</v>
      </c>
      <c r="P128" s="204">
        <f t="shared" si="35"/>
        <v>0.1798780487804878</v>
      </c>
    </row>
    <row r="129" spans="1:24">
      <c r="A129" s="139" t="s">
        <v>176</v>
      </c>
      <c r="B129" s="105">
        <v>343000</v>
      </c>
      <c r="C129" s="9">
        <v>364000</v>
      </c>
      <c r="D129" s="9">
        <v>333000</v>
      </c>
      <c r="E129" s="9">
        <v>384000</v>
      </c>
      <c r="F129" s="9">
        <v>415000</v>
      </c>
      <c r="G129" s="9">
        <v>419000</v>
      </c>
      <c r="H129" s="9">
        <v>458000</v>
      </c>
      <c r="I129" s="102">
        <f t="shared" si="28"/>
        <v>2716000</v>
      </c>
      <c r="J129" s="204">
        <f t="shared" si="29"/>
        <v>0.12628865979381443</v>
      </c>
      <c r="K129" s="204">
        <f t="shared" si="30"/>
        <v>0.13402061855670103</v>
      </c>
      <c r="L129" s="204">
        <f t="shared" si="31"/>
        <v>0.12260677466863033</v>
      </c>
      <c r="M129" s="204">
        <f t="shared" si="32"/>
        <v>0.14138438880706922</v>
      </c>
      <c r="N129" s="204">
        <f t="shared" si="33"/>
        <v>0.15279823269513992</v>
      </c>
      <c r="O129" s="204">
        <f t="shared" si="34"/>
        <v>0.15427098674521356</v>
      </c>
      <c r="P129" s="204">
        <f t="shared" si="35"/>
        <v>0.16863033873343153</v>
      </c>
    </row>
    <row r="130" spans="1:24">
      <c r="A130" s="112" t="s">
        <v>666</v>
      </c>
      <c r="B130" s="109">
        <v>1524000</v>
      </c>
      <c r="C130" s="104">
        <v>1624000</v>
      </c>
      <c r="D130" s="104">
        <v>1686000</v>
      </c>
      <c r="E130" s="104">
        <v>1732000</v>
      </c>
      <c r="F130" s="104">
        <v>1754000</v>
      </c>
      <c r="G130" s="104">
        <v>1623000</v>
      </c>
      <c r="H130" s="104">
        <v>1781000</v>
      </c>
    </row>
    <row r="131" spans="1:24">
      <c r="A131" s="163" t="s">
        <v>174</v>
      </c>
      <c r="B131" s="105">
        <v>27000</v>
      </c>
      <c r="C131" s="9">
        <v>23000</v>
      </c>
      <c r="D131" s="9">
        <v>29000</v>
      </c>
      <c r="E131" s="9">
        <v>32000</v>
      </c>
      <c r="F131" s="9">
        <v>30000</v>
      </c>
      <c r="G131" s="9">
        <v>30000</v>
      </c>
      <c r="H131" s="9">
        <v>41000</v>
      </c>
    </row>
    <row r="132" spans="1:24">
      <c r="A132" s="201" t="s">
        <v>227</v>
      </c>
      <c r="B132" s="105">
        <v>11000</v>
      </c>
      <c r="C132" s="9">
        <v>9000</v>
      </c>
      <c r="D132" s="9">
        <v>7000</v>
      </c>
      <c r="E132" s="9">
        <v>8000</v>
      </c>
      <c r="F132" s="9">
        <v>8000</v>
      </c>
      <c r="G132" s="9">
        <v>7000</v>
      </c>
      <c r="H132" s="9">
        <v>11000</v>
      </c>
    </row>
    <row r="133" spans="1:24">
      <c r="A133" s="202" t="s">
        <v>228</v>
      </c>
      <c r="B133" s="105">
        <v>8000</v>
      </c>
      <c r="C133" s="9">
        <v>4000</v>
      </c>
      <c r="D133" s="9">
        <v>9000</v>
      </c>
      <c r="E133" s="9">
        <v>7000</v>
      </c>
      <c r="F133" s="9">
        <v>7000</v>
      </c>
      <c r="G133" s="9">
        <v>8000</v>
      </c>
      <c r="H133" s="9">
        <v>15000</v>
      </c>
    </row>
    <row r="134" spans="1:24">
      <c r="A134" s="202" t="s">
        <v>229</v>
      </c>
      <c r="B134" s="162" t="s">
        <v>191</v>
      </c>
      <c r="C134" s="13" t="s">
        <v>222</v>
      </c>
      <c r="D134" s="13" t="s">
        <v>220</v>
      </c>
      <c r="E134" s="13" t="s">
        <v>220</v>
      </c>
      <c r="F134" s="9">
        <v>2000</v>
      </c>
      <c r="G134" s="9">
        <v>1000</v>
      </c>
      <c r="H134" s="13" t="s">
        <v>191</v>
      </c>
    </row>
    <row r="135" spans="1:24">
      <c r="A135" s="202" t="s">
        <v>230</v>
      </c>
      <c r="B135" s="105">
        <v>5000</v>
      </c>
      <c r="C135" s="9">
        <v>8000</v>
      </c>
      <c r="D135" s="9">
        <v>11000</v>
      </c>
      <c r="E135" s="9">
        <v>13000</v>
      </c>
      <c r="F135" s="9">
        <v>12000</v>
      </c>
      <c r="G135" s="9">
        <v>10000</v>
      </c>
      <c r="H135" s="9">
        <v>12000</v>
      </c>
    </row>
    <row r="136" spans="1:24">
      <c r="A136" s="202" t="s">
        <v>231</v>
      </c>
      <c r="B136" s="105">
        <v>1000</v>
      </c>
      <c r="C136" s="13" t="s">
        <v>191</v>
      </c>
      <c r="D136" s="9">
        <v>2000</v>
      </c>
      <c r="E136" s="9">
        <v>4000</v>
      </c>
      <c r="F136" s="9">
        <v>1000</v>
      </c>
      <c r="G136" s="9">
        <v>5000</v>
      </c>
      <c r="H136" s="13" t="s">
        <v>191</v>
      </c>
    </row>
    <row r="137" spans="1:24">
      <c r="A137" s="163" t="s">
        <v>175</v>
      </c>
      <c r="B137" s="105">
        <v>730000</v>
      </c>
      <c r="C137" s="9">
        <v>780000</v>
      </c>
      <c r="D137" s="9">
        <v>788000</v>
      </c>
      <c r="E137" s="9">
        <v>807000</v>
      </c>
      <c r="F137" s="9">
        <v>825000</v>
      </c>
      <c r="G137" s="9">
        <v>773000</v>
      </c>
      <c r="H137" s="9">
        <v>865000</v>
      </c>
    </row>
    <row r="138" spans="1:24">
      <c r="A138" s="163" t="s">
        <v>176</v>
      </c>
      <c r="B138" s="110">
        <v>767000</v>
      </c>
      <c r="C138" s="21">
        <v>821000</v>
      </c>
      <c r="D138" s="21">
        <v>870000</v>
      </c>
      <c r="E138" s="21">
        <v>893000</v>
      </c>
      <c r="F138" s="21">
        <v>898000</v>
      </c>
      <c r="G138" s="21">
        <v>819000</v>
      </c>
      <c r="H138" s="21">
        <v>876000</v>
      </c>
    </row>
    <row r="139" spans="1:24">
      <c r="A139" s="421" t="s">
        <v>224</v>
      </c>
      <c r="B139" s="421"/>
      <c r="C139" s="421"/>
      <c r="D139" s="421"/>
      <c r="E139" s="421"/>
      <c r="F139" s="421"/>
      <c r="G139" s="421"/>
      <c r="H139" s="421"/>
      <c r="I139" s="421"/>
      <c r="J139" s="245"/>
      <c r="K139" s="245"/>
      <c r="L139" s="245"/>
      <c r="M139" s="245"/>
      <c r="N139" s="245"/>
      <c r="O139" s="245"/>
      <c r="P139" s="245"/>
      <c r="Q139" s="245"/>
      <c r="R139" s="245"/>
      <c r="S139" s="245"/>
      <c r="T139" s="245"/>
      <c r="U139" s="245"/>
      <c r="V139" s="245"/>
      <c r="W139" s="245"/>
      <c r="X139" s="245"/>
    </row>
    <row r="140" spans="1:24">
      <c r="A140" s="420" t="s">
        <v>654</v>
      </c>
      <c r="B140" s="420"/>
      <c r="C140" s="420"/>
      <c r="D140" s="420"/>
      <c r="E140" s="420"/>
      <c r="F140" s="420"/>
      <c r="G140" s="420"/>
      <c r="H140" s="420"/>
      <c r="I140" s="420"/>
      <c r="J140" s="244"/>
      <c r="K140" s="244"/>
      <c r="L140" s="244"/>
      <c r="M140" s="244"/>
      <c r="N140" s="244"/>
      <c r="O140" s="244"/>
      <c r="P140" s="244"/>
      <c r="Q140" s="244"/>
      <c r="R140" s="244"/>
      <c r="S140" s="244"/>
      <c r="T140" s="244"/>
      <c r="U140" s="244"/>
      <c r="V140" s="244"/>
      <c r="W140" s="244"/>
      <c r="X140" s="244"/>
    </row>
  </sheetData>
  <mergeCells count="3">
    <mergeCell ref="A1:I1"/>
    <mergeCell ref="A139:I139"/>
    <mergeCell ref="A140:I140"/>
  </mergeCells>
  <pageMargins left="0.7" right="0.7" top="0.75" bottom="0.75" header="0.3" footer="0.3"/>
  <pageSetup orientation="portrait" r:id="rId1"/>
  <drawing r:id="rId2"/>
  <legacyDrawing r:id="rId3"/>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Y140"/>
  <sheetViews>
    <sheetView workbookViewId="0">
      <pane ySplit="3" topLeftCell="A103" activePane="bottomLeft" state="frozen"/>
      <selection pane="bottomLeft" activeCell="I88" sqref="I88"/>
    </sheetView>
  </sheetViews>
  <sheetFormatPr defaultRowHeight="13.2"/>
  <cols>
    <col min="1" max="1" width="47.44140625" customWidth="1"/>
    <col min="2" max="5" width="11.109375" customWidth="1"/>
    <col min="6" max="6" width="10.77734375" customWidth="1"/>
    <col min="7" max="8" width="11.109375" customWidth="1"/>
    <col min="9" max="9" width="10.77734375" bestFit="1" customWidth="1"/>
    <col min="10" max="12" width="10.77734375" customWidth="1"/>
  </cols>
  <sheetData>
    <row r="1" spans="1:25" ht="39" customHeight="1">
      <c r="A1" s="420" t="s">
        <v>667</v>
      </c>
      <c r="B1" s="420"/>
      <c r="C1" s="420"/>
      <c r="D1" s="420"/>
      <c r="E1" s="420"/>
      <c r="F1" s="420"/>
      <c r="G1" s="420"/>
      <c r="H1" s="420"/>
      <c r="I1" s="420"/>
      <c r="J1" s="244"/>
      <c r="K1" s="244"/>
      <c r="L1" s="244"/>
    </row>
    <row r="2" spans="1:25" ht="1.95" customHeight="1"/>
    <row r="3" spans="1:25" ht="14.7" customHeight="1">
      <c r="A3" s="101" t="s">
        <v>583</v>
      </c>
      <c r="B3" s="87">
        <v>2003</v>
      </c>
      <c r="C3" s="87">
        <v>2010</v>
      </c>
      <c r="D3" s="87">
        <v>2013</v>
      </c>
      <c r="E3" s="87">
        <v>2015</v>
      </c>
      <c r="F3" s="87">
        <v>2017</v>
      </c>
      <c r="G3" s="87">
        <v>2019</v>
      </c>
      <c r="H3" s="87">
        <v>2021</v>
      </c>
      <c r="I3" t="s">
        <v>78</v>
      </c>
      <c r="J3" t="s">
        <v>643</v>
      </c>
      <c r="K3" t="s">
        <v>644</v>
      </c>
      <c r="L3" t="s">
        <v>645</v>
      </c>
      <c r="M3" t="s">
        <v>646</v>
      </c>
      <c r="N3" t="s">
        <v>647</v>
      </c>
      <c r="O3" t="s">
        <v>648</v>
      </c>
      <c r="P3" t="s">
        <v>649</v>
      </c>
      <c r="R3" s="101" t="s">
        <v>583</v>
      </c>
      <c r="S3" s="87">
        <v>2003</v>
      </c>
      <c r="T3" s="87">
        <v>2010</v>
      </c>
      <c r="U3" s="87">
        <v>2013</v>
      </c>
      <c r="V3" s="87">
        <v>2015</v>
      </c>
      <c r="W3" s="87">
        <v>2017</v>
      </c>
      <c r="X3" s="87">
        <v>2019</v>
      </c>
      <c r="Y3" s="87">
        <v>2021</v>
      </c>
    </row>
    <row r="4" spans="1:25" ht="12.45" customHeight="1">
      <c r="A4" s="128" t="s">
        <v>591</v>
      </c>
      <c r="B4" s="127">
        <v>32574000</v>
      </c>
      <c r="C4" s="126">
        <v>40623000</v>
      </c>
      <c r="D4" s="126">
        <v>43839000</v>
      </c>
      <c r="E4" s="126">
        <v>45941000</v>
      </c>
      <c r="F4" s="126">
        <v>48223000</v>
      </c>
      <c r="G4" s="126">
        <v>50524000</v>
      </c>
      <c r="H4" s="126">
        <v>51764000</v>
      </c>
      <c r="I4" s="276">
        <f>SUM(B4:H4)</f>
        <v>313488000</v>
      </c>
      <c r="J4" s="277">
        <f>B4/$I4</f>
        <v>0.10390828357066299</v>
      </c>
      <c r="K4" s="277">
        <f t="shared" ref="K4:P5" si="0">C4/$I4</f>
        <v>0.12958390751799112</v>
      </c>
      <c r="L4" s="277">
        <f t="shared" si="0"/>
        <v>0.13984267340376666</v>
      </c>
      <c r="M4" s="277">
        <f t="shared" si="0"/>
        <v>0.14654787424080029</v>
      </c>
      <c r="N4" s="277">
        <f t="shared" si="0"/>
        <v>0.15382725973561986</v>
      </c>
      <c r="O4" s="277">
        <f t="shared" si="0"/>
        <v>0.16116725361098352</v>
      </c>
      <c r="P4" s="277">
        <f t="shared" si="0"/>
        <v>0.16512274792017556</v>
      </c>
      <c r="R4" s="128" t="s">
        <v>591</v>
      </c>
      <c r="S4" s="127">
        <v>32574000</v>
      </c>
      <c r="T4" s="126">
        <v>40623000</v>
      </c>
      <c r="U4" s="126">
        <v>43839000</v>
      </c>
      <c r="V4" s="126">
        <v>45941000</v>
      </c>
      <c r="W4" s="126">
        <v>48223000</v>
      </c>
      <c r="X4" s="126">
        <v>50524000</v>
      </c>
      <c r="Y4" s="126">
        <v>51764000</v>
      </c>
    </row>
    <row r="5" spans="1:25" ht="12.45" customHeight="1">
      <c r="A5" s="129" t="s">
        <v>174</v>
      </c>
      <c r="B5" s="105">
        <v>4588000</v>
      </c>
      <c r="C5" s="9">
        <v>5374000</v>
      </c>
      <c r="D5" s="9">
        <v>5766000</v>
      </c>
      <c r="E5" s="9">
        <v>6407000</v>
      </c>
      <c r="F5" s="9">
        <v>6769000</v>
      </c>
      <c r="G5" s="9">
        <v>7466000</v>
      </c>
      <c r="H5" s="9">
        <v>7894000</v>
      </c>
      <c r="I5" s="102">
        <f t="shared" ref="I5:I68" si="1">SUM(B5:H5)</f>
        <v>44264000</v>
      </c>
      <c r="J5" s="204">
        <f t="shared" ref="J5" si="2">B5/$I5</f>
        <v>0.1036508223386951</v>
      </c>
      <c r="K5" s="204">
        <f t="shared" si="0"/>
        <v>0.12140791613952648</v>
      </c>
      <c r="L5" s="204">
        <f t="shared" si="0"/>
        <v>0.13026387131754924</v>
      </c>
      <c r="M5" s="204">
        <f t="shared" si="0"/>
        <v>0.14474516537140791</v>
      </c>
      <c r="N5" s="204">
        <f t="shared" si="0"/>
        <v>0.15292336887764324</v>
      </c>
      <c r="O5" s="204">
        <f t="shared" si="0"/>
        <v>0.16866979938550516</v>
      </c>
      <c r="P5" s="204">
        <f t="shared" si="0"/>
        <v>0.17833905656967286</v>
      </c>
      <c r="R5" s="125" t="s">
        <v>668</v>
      </c>
      <c r="S5" s="124">
        <v>20365000</v>
      </c>
      <c r="T5" s="119">
        <v>25354000</v>
      </c>
      <c r="U5" s="119">
        <v>27802000</v>
      </c>
      <c r="V5" s="119">
        <v>28509000</v>
      </c>
      <c r="W5" s="119">
        <v>30131000</v>
      </c>
      <c r="X5" s="119">
        <v>31373000</v>
      </c>
      <c r="Y5" s="119">
        <v>31688000</v>
      </c>
    </row>
    <row r="6" spans="1:25" ht="12.45" customHeight="1">
      <c r="A6" s="130" t="s">
        <v>227</v>
      </c>
      <c r="B6" s="105">
        <v>421000</v>
      </c>
      <c r="C6" s="9">
        <v>602000</v>
      </c>
      <c r="D6" s="9">
        <v>638000</v>
      </c>
      <c r="E6" s="9">
        <v>631000</v>
      </c>
      <c r="F6" s="9">
        <v>610000</v>
      </c>
      <c r="G6" s="9">
        <v>698000</v>
      </c>
      <c r="H6" s="9">
        <v>794000</v>
      </c>
      <c r="I6" s="102">
        <f t="shared" si="1"/>
        <v>4394000</v>
      </c>
      <c r="J6" s="204">
        <f t="shared" ref="J6:J69" si="3">B6/$I6</f>
        <v>9.5812471552116529E-2</v>
      </c>
      <c r="K6" s="204">
        <f t="shared" ref="K6:K69" si="4">C6/$I6</f>
        <v>0.13700500682749203</v>
      </c>
      <c r="L6" s="204">
        <f t="shared" ref="L6:L69" si="5">D6/$I6</f>
        <v>0.14519799726900318</v>
      </c>
      <c r="M6" s="204">
        <f t="shared" ref="M6:M69" si="6">E6/$I6</f>
        <v>0.1436049157942649</v>
      </c>
      <c r="N6" s="204">
        <f t="shared" ref="N6:N69" si="7">F6/$I6</f>
        <v>0.13882567137005006</v>
      </c>
      <c r="O6" s="204">
        <f t="shared" ref="O6:O69" si="8">G6/$I6</f>
        <v>0.15885298133818843</v>
      </c>
      <c r="P6" s="204">
        <f t="shared" ref="P6:P69" si="9">H6/$I6</f>
        <v>0.18070095584888485</v>
      </c>
      <c r="R6" s="114" t="s">
        <v>669</v>
      </c>
      <c r="S6" s="144">
        <v>8677000</v>
      </c>
      <c r="T6" s="143">
        <v>11118000</v>
      </c>
      <c r="U6" s="143">
        <v>11728000</v>
      </c>
      <c r="V6" s="143">
        <v>12888000</v>
      </c>
      <c r="W6" s="143">
        <v>13260000</v>
      </c>
      <c r="X6" s="143">
        <v>14158000</v>
      </c>
      <c r="Y6" s="143">
        <v>14688000</v>
      </c>
    </row>
    <row r="7" spans="1:25" ht="12.45" customHeight="1">
      <c r="A7" s="130" t="s">
        <v>228</v>
      </c>
      <c r="B7" s="105">
        <v>1930000</v>
      </c>
      <c r="C7" s="9">
        <v>2396000</v>
      </c>
      <c r="D7" s="9">
        <v>2653000</v>
      </c>
      <c r="E7" s="9">
        <v>3156000</v>
      </c>
      <c r="F7" s="9">
        <v>3419000</v>
      </c>
      <c r="G7" s="9">
        <v>3774000</v>
      </c>
      <c r="H7" s="9">
        <v>4031000</v>
      </c>
      <c r="I7" s="102">
        <f t="shared" si="1"/>
        <v>21359000</v>
      </c>
      <c r="J7" s="204">
        <f t="shared" si="3"/>
        <v>9.0360035582190176E-2</v>
      </c>
      <c r="K7" s="204">
        <f t="shared" si="4"/>
        <v>0.11217753640151693</v>
      </c>
      <c r="L7" s="204">
        <f t="shared" si="5"/>
        <v>0.12420993492204692</v>
      </c>
      <c r="M7" s="204">
        <f t="shared" si="6"/>
        <v>0.14775972657895969</v>
      </c>
      <c r="N7" s="204">
        <f t="shared" si="7"/>
        <v>0.16007303712720633</v>
      </c>
      <c r="O7" s="204">
        <f t="shared" si="8"/>
        <v>0.17669366543377499</v>
      </c>
      <c r="P7" s="204">
        <f t="shared" si="9"/>
        <v>0.18872606395430497</v>
      </c>
      <c r="R7" s="135" t="s">
        <v>670</v>
      </c>
      <c r="S7" s="136">
        <v>1271000</v>
      </c>
      <c r="T7" s="137">
        <v>1500000</v>
      </c>
      <c r="U7" s="137">
        <v>1551000</v>
      </c>
      <c r="V7" s="137">
        <v>1641000</v>
      </c>
      <c r="W7" s="137">
        <v>1796000</v>
      </c>
      <c r="X7" s="137">
        <v>2090000</v>
      </c>
      <c r="Y7" s="137">
        <v>2141000</v>
      </c>
    </row>
    <row r="8" spans="1:25" ht="12.45" customHeight="1">
      <c r="A8" s="130" t="s">
        <v>229</v>
      </c>
      <c r="B8" s="105">
        <v>298000</v>
      </c>
      <c r="C8" s="9">
        <v>327000</v>
      </c>
      <c r="D8" s="9">
        <v>324000</v>
      </c>
      <c r="E8" s="9">
        <v>331000</v>
      </c>
      <c r="F8" s="9">
        <v>366000</v>
      </c>
      <c r="G8" s="9">
        <v>409000</v>
      </c>
      <c r="H8" s="9">
        <v>408000</v>
      </c>
      <c r="I8" s="102">
        <f t="shared" si="1"/>
        <v>2463000</v>
      </c>
      <c r="J8" s="204">
        <f t="shared" si="3"/>
        <v>0.12099066179455949</v>
      </c>
      <c r="K8" s="204">
        <f t="shared" si="4"/>
        <v>0.13276492082825822</v>
      </c>
      <c r="L8" s="204">
        <f t="shared" si="5"/>
        <v>0.13154689403166869</v>
      </c>
      <c r="M8" s="204">
        <f t="shared" si="6"/>
        <v>0.13438895655704425</v>
      </c>
      <c r="N8" s="204">
        <f t="shared" si="7"/>
        <v>0.14859926918392205</v>
      </c>
      <c r="O8" s="204">
        <f t="shared" si="8"/>
        <v>0.16605765326837191</v>
      </c>
      <c r="P8" s="204">
        <f t="shared" si="9"/>
        <v>0.16565164433617541</v>
      </c>
      <c r="R8" s="129" t="s">
        <v>671</v>
      </c>
      <c r="S8" s="197">
        <v>4347000</v>
      </c>
      <c r="T8" s="198">
        <v>5990000</v>
      </c>
      <c r="U8" s="198">
        <v>6704000</v>
      </c>
      <c r="V8" s="198">
        <v>7371000</v>
      </c>
      <c r="W8" s="198">
        <v>8126000</v>
      </c>
      <c r="X8" s="198">
        <v>8602000</v>
      </c>
      <c r="Y8" s="198">
        <v>9311000</v>
      </c>
    </row>
    <row r="9" spans="1:25" ht="12.45" customHeight="1">
      <c r="A9" s="130" t="s">
        <v>230</v>
      </c>
      <c r="B9" s="105">
        <v>477000</v>
      </c>
      <c r="C9" s="9">
        <v>518000</v>
      </c>
      <c r="D9" s="9">
        <v>596000</v>
      </c>
      <c r="E9" s="9">
        <v>570000</v>
      </c>
      <c r="F9" s="9">
        <v>646000</v>
      </c>
      <c r="G9" s="9">
        <v>663000</v>
      </c>
      <c r="H9" s="9">
        <v>712000</v>
      </c>
      <c r="I9" s="102">
        <f t="shared" si="1"/>
        <v>4182000</v>
      </c>
      <c r="J9" s="204">
        <f t="shared" si="3"/>
        <v>0.11406025824964132</v>
      </c>
      <c r="K9" s="204">
        <f t="shared" si="4"/>
        <v>0.12386417981826878</v>
      </c>
      <c r="L9" s="204">
        <f t="shared" si="5"/>
        <v>0.14251554280248685</v>
      </c>
      <c r="M9" s="204">
        <f t="shared" si="6"/>
        <v>0.13629842180774748</v>
      </c>
      <c r="N9" s="204">
        <f t="shared" si="7"/>
        <v>0.15447154471544716</v>
      </c>
      <c r="O9" s="204">
        <f t="shared" si="8"/>
        <v>0.15853658536585366</v>
      </c>
      <c r="P9" s="204">
        <f t="shared" si="9"/>
        <v>0.17025346724055476</v>
      </c>
      <c r="R9" s="120" t="s">
        <v>672</v>
      </c>
      <c r="S9" s="124">
        <v>2418000</v>
      </c>
      <c r="T9" s="119">
        <v>3294000</v>
      </c>
      <c r="U9" s="119">
        <v>3807000</v>
      </c>
      <c r="V9" s="119">
        <v>4072000</v>
      </c>
      <c r="W9" s="119">
        <v>4464000</v>
      </c>
      <c r="X9" s="119">
        <v>4672000</v>
      </c>
      <c r="Y9" s="119">
        <v>5036000</v>
      </c>
    </row>
    <row r="10" spans="1:25" ht="12.45" customHeight="1">
      <c r="A10" s="130" t="s">
        <v>231</v>
      </c>
      <c r="B10" s="105">
        <v>1463000</v>
      </c>
      <c r="C10" s="9">
        <v>1531000</v>
      </c>
      <c r="D10" s="9">
        <v>1554000</v>
      </c>
      <c r="E10" s="9">
        <v>1719000</v>
      </c>
      <c r="F10" s="9">
        <v>1728000</v>
      </c>
      <c r="G10" s="9">
        <v>1921000</v>
      </c>
      <c r="H10" s="9">
        <v>1949000</v>
      </c>
      <c r="I10" s="102">
        <f t="shared" si="1"/>
        <v>11865000</v>
      </c>
      <c r="J10" s="204">
        <f t="shared" si="3"/>
        <v>0.12330383480825959</v>
      </c>
      <c r="K10" s="204">
        <f t="shared" si="4"/>
        <v>0.12903497682258744</v>
      </c>
      <c r="L10" s="204">
        <f t="shared" si="5"/>
        <v>0.13097345132743363</v>
      </c>
      <c r="M10" s="204">
        <f t="shared" si="6"/>
        <v>0.14487989886219974</v>
      </c>
      <c r="N10" s="204">
        <f t="shared" si="7"/>
        <v>0.14563843236409607</v>
      </c>
      <c r="O10" s="204">
        <f t="shared" si="8"/>
        <v>0.16190476190476191</v>
      </c>
      <c r="P10" s="204">
        <f t="shared" si="9"/>
        <v>0.16426464391066162</v>
      </c>
      <c r="R10" s="115" t="s">
        <v>673</v>
      </c>
      <c r="S10" s="144">
        <v>1237000</v>
      </c>
      <c r="T10" s="143">
        <v>1826000</v>
      </c>
      <c r="U10" s="143">
        <v>1964000</v>
      </c>
      <c r="V10" s="143">
        <v>2291000</v>
      </c>
      <c r="W10" s="143">
        <v>2559000</v>
      </c>
      <c r="X10" s="143">
        <v>2706000</v>
      </c>
      <c r="Y10" s="143">
        <v>2980000</v>
      </c>
    </row>
    <row r="11" spans="1:25" ht="12.45" customHeight="1">
      <c r="A11" s="129" t="s">
        <v>175</v>
      </c>
      <c r="B11" s="105">
        <v>5155000</v>
      </c>
      <c r="C11" s="9">
        <v>6966000</v>
      </c>
      <c r="D11" s="9">
        <v>7508000</v>
      </c>
      <c r="E11" s="9">
        <v>7867000</v>
      </c>
      <c r="F11" s="9">
        <v>8271000</v>
      </c>
      <c r="G11" s="9">
        <v>8893000</v>
      </c>
      <c r="H11" s="9">
        <v>9522000</v>
      </c>
      <c r="I11" s="102">
        <f t="shared" si="1"/>
        <v>54182000</v>
      </c>
      <c r="J11" s="204">
        <f t="shared" si="3"/>
        <v>9.5142298180207446E-2</v>
      </c>
      <c r="K11" s="204">
        <f t="shared" si="4"/>
        <v>0.12856668266213872</v>
      </c>
      <c r="L11" s="204">
        <f t="shared" si="5"/>
        <v>0.13857000479864162</v>
      </c>
      <c r="M11" s="204">
        <f t="shared" si="6"/>
        <v>0.14519582149053192</v>
      </c>
      <c r="N11" s="204">
        <f t="shared" si="7"/>
        <v>0.15265217230814662</v>
      </c>
      <c r="O11" s="204">
        <f t="shared" si="8"/>
        <v>0.16413199955704846</v>
      </c>
      <c r="P11" s="204">
        <f t="shared" si="9"/>
        <v>0.17574102100328523</v>
      </c>
      <c r="R11" s="138" t="s">
        <v>674</v>
      </c>
      <c r="S11" s="136">
        <v>351000</v>
      </c>
      <c r="T11" s="137">
        <v>499000</v>
      </c>
      <c r="U11" s="137">
        <v>498000</v>
      </c>
      <c r="V11" s="137">
        <v>536000</v>
      </c>
      <c r="W11" s="137">
        <v>599000</v>
      </c>
      <c r="X11" s="137">
        <v>753000</v>
      </c>
      <c r="Y11" s="137">
        <v>770000</v>
      </c>
    </row>
    <row r="12" spans="1:25" ht="12.45" customHeight="1">
      <c r="A12" s="129" t="s">
        <v>176</v>
      </c>
      <c r="B12" s="105">
        <v>22831000</v>
      </c>
      <c r="C12" s="9">
        <v>28282000</v>
      </c>
      <c r="D12" s="9">
        <v>30566000</v>
      </c>
      <c r="E12" s="9">
        <v>31667000</v>
      </c>
      <c r="F12" s="9">
        <v>33183000</v>
      </c>
      <c r="G12" s="9">
        <v>34165000</v>
      </c>
      <c r="H12" s="9">
        <v>34349000</v>
      </c>
      <c r="I12" s="102">
        <f t="shared" si="1"/>
        <v>215043000</v>
      </c>
      <c r="J12" s="204">
        <f t="shared" si="3"/>
        <v>0.10616946378166227</v>
      </c>
      <c r="K12" s="204">
        <f t="shared" si="4"/>
        <v>0.13151788247001761</v>
      </c>
      <c r="L12" s="204">
        <f t="shared" si="5"/>
        <v>0.14213901405765358</v>
      </c>
      <c r="M12" s="204">
        <f t="shared" si="6"/>
        <v>0.14725892030896146</v>
      </c>
      <c r="N12" s="204">
        <f t="shared" si="7"/>
        <v>0.15430867314909111</v>
      </c>
      <c r="O12" s="204">
        <f t="shared" si="8"/>
        <v>0.15887520170384528</v>
      </c>
      <c r="P12" s="204">
        <f t="shared" si="9"/>
        <v>0.15973084452876868</v>
      </c>
      <c r="R12" s="129" t="s">
        <v>675</v>
      </c>
      <c r="S12" s="197">
        <v>28228000</v>
      </c>
      <c r="T12" s="198">
        <v>34633000</v>
      </c>
      <c r="U12" s="198">
        <v>37136000</v>
      </c>
      <c r="V12" s="198">
        <v>38570000</v>
      </c>
      <c r="W12" s="198">
        <v>40097000</v>
      </c>
      <c r="X12" s="198">
        <v>41922000</v>
      </c>
      <c r="Y12" s="198">
        <v>42453000</v>
      </c>
    </row>
    <row r="13" spans="1:25" ht="12.45" customHeight="1">
      <c r="A13" s="125" t="s">
        <v>668</v>
      </c>
      <c r="B13" s="124">
        <v>20365000</v>
      </c>
      <c r="C13" s="119">
        <v>25354000</v>
      </c>
      <c r="D13" s="119">
        <v>27802000</v>
      </c>
      <c r="E13" s="119">
        <v>28509000</v>
      </c>
      <c r="F13" s="119">
        <v>30131000</v>
      </c>
      <c r="G13" s="119">
        <v>31373000</v>
      </c>
      <c r="H13" s="119">
        <v>31688000</v>
      </c>
      <c r="I13" s="278">
        <f t="shared" si="1"/>
        <v>195222000</v>
      </c>
      <c r="J13" s="279">
        <f t="shared" si="3"/>
        <v>0.1043171363883169</v>
      </c>
      <c r="K13" s="279">
        <f t="shared" si="4"/>
        <v>0.12987265779471577</v>
      </c>
      <c r="L13" s="279">
        <f t="shared" si="5"/>
        <v>0.14241222813002632</v>
      </c>
      <c r="M13" s="279">
        <f t="shared" si="6"/>
        <v>0.14603374619663767</v>
      </c>
      <c r="N13" s="279">
        <f t="shared" si="7"/>
        <v>0.15434223601848152</v>
      </c>
      <c r="O13" s="279">
        <f t="shared" si="8"/>
        <v>0.16070422390919056</v>
      </c>
      <c r="P13" s="279">
        <f t="shared" si="9"/>
        <v>0.16231777156263127</v>
      </c>
      <c r="R13" s="120" t="s">
        <v>676</v>
      </c>
      <c r="S13" s="124">
        <v>17947000</v>
      </c>
      <c r="T13" s="119">
        <v>22060000</v>
      </c>
      <c r="U13" s="119">
        <v>23995000</v>
      </c>
      <c r="V13" s="119">
        <v>24437000</v>
      </c>
      <c r="W13" s="119">
        <v>25667000</v>
      </c>
      <c r="X13" s="119">
        <v>26701000</v>
      </c>
      <c r="Y13" s="119">
        <v>26652000</v>
      </c>
    </row>
    <row r="14" spans="1:25" ht="12.45" customHeight="1">
      <c r="A14" s="120" t="s">
        <v>174</v>
      </c>
      <c r="B14" s="105">
        <v>2529000</v>
      </c>
      <c r="C14" s="9">
        <v>2980000</v>
      </c>
      <c r="D14" s="9">
        <v>3288000</v>
      </c>
      <c r="E14" s="9">
        <v>3518000</v>
      </c>
      <c r="F14" s="9">
        <v>3846000</v>
      </c>
      <c r="G14" s="9">
        <v>4176000</v>
      </c>
      <c r="H14" s="9">
        <v>4438000</v>
      </c>
      <c r="I14" s="102">
        <f t="shared" si="1"/>
        <v>24775000</v>
      </c>
      <c r="J14" s="204">
        <f t="shared" si="3"/>
        <v>0.1020787083753784</v>
      </c>
      <c r="K14" s="204">
        <f t="shared" si="4"/>
        <v>0.12028254288597376</v>
      </c>
      <c r="L14" s="204">
        <f t="shared" si="5"/>
        <v>0.13271442986881937</v>
      </c>
      <c r="M14" s="204">
        <f t="shared" si="6"/>
        <v>0.14199798183652876</v>
      </c>
      <c r="N14" s="204">
        <f t="shared" si="7"/>
        <v>0.15523713420787083</v>
      </c>
      <c r="O14" s="204">
        <f t="shared" si="8"/>
        <v>0.16855701311806257</v>
      </c>
      <c r="P14" s="204">
        <f t="shared" si="9"/>
        <v>0.1791321897073663</v>
      </c>
      <c r="R14" s="115" t="s">
        <v>677</v>
      </c>
      <c r="S14" s="144">
        <v>7440000</v>
      </c>
      <c r="T14" s="143">
        <v>9292000</v>
      </c>
      <c r="U14" s="143">
        <v>9764000</v>
      </c>
      <c r="V14" s="143">
        <v>10597000</v>
      </c>
      <c r="W14" s="143">
        <v>10701000</v>
      </c>
      <c r="X14" s="143">
        <v>11452000</v>
      </c>
      <c r="Y14" s="143">
        <v>11708000</v>
      </c>
    </row>
    <row r="15" spans="1:25" ht="12.45" customHeight="1">
      <c r="A15" s="185" t="s">
        <v>227</v>
      </c>
      <c r="B15" s="105">
        <v>146000</v>
      </c>
      <c r="C15" s="9">
        <v>233000</v>
      </c>
      <c r="D15" s="9">
        <v>264000</v>
      </c>
      <c r="E15" s="9">
        <v>241000</v>
      </c>
      <c r="F15" s="9">
        <v>230000</v>
      </c>
      <c r="G15" s="9">
        <v>277000</v>
      </c>
      <c r="H15" s="9">
        <v>295000</v>
      </c>
      <c r="I15" s="102">
        <f t="shared" si="1"/>
        <v>1686000</v>
      </c>
      <c r="J15" s="204">
        <f t="shared" si="3"/>
        <v>8.6595492289442466E-2</v>
      </c>
      <c r="K15" s="204">
        <f t="shared" si="4"/>
        <v>0.13819691577698695</v>
      </c>
      <c r="L15" s="204">
        <f t="shared" si="5"/>
        <v>0.15658362989323843</v>
      </c>
      <c r="M15" s="204">
        <f t="shared" si="6"/>
        <v>0.14294187425860025</v>
      </c>
      <c r="N15" s="204">
        <f t="shared" si="7"/>
        <v>0.13641755634638197</v>
      </c>
      <c r="O15" s="204">
        <f t="shared" si="8"/>
        <v>0.16429418742586002</v>
      </c>
      <c r="P15" s="204">
        <f t="shared" si="9"/>
        <v>0.17497034400948991</v>
      </c>
      <c r="R15" s="138" t="s">
        <v>678</v>
      </c>
      <c r="S15" s="136">
        <v>920000</v>
      </c>
      <c r="T15" s="137">
        <v>1001000</v>
      </c>
      <c r="U15" s="137">
        <v>1053000</v>
      </c>
      <c r="V15" s="137">
        <v>1105000</v>
      </c>
      <c r="W15" s="137">
        <v>1197000</v>
      </c>
      <c r="X15" s="137">
        <v>1337000</v>
      </c>
      <c r="Y15" s="137">
        <v>1371000</v>
      </c>
    </row>
    <row r="16" spans="1:25" ht="12.45" customHeight="1">
      <c r="A16" s="121" t="s">
        <v>228</v>
      </c>
      <c r="B16" s="105">
        <v>1243000</v>
      </c>
      <c r="C16" s="9">
        <v>1564000</v>
      </c>
      <c r="D16" s="9">
        <v>1785000</v>
      </c>
      <c r="E16" s="9">
        <v>1978000</v>
      </c>
      <c r="F16" s="9">
        <v>2219000</v>
      </c>
      <c r="G16" s="9">
        <v>2403000</v>
      </c>
      <c r="H16" s="9">
        <v>2574000</v>
      </c>
      <c r="I16" s="102">
        <f t="shared" si="1"/>
        <v>13766000</v>
      </c>
      <c r="J16" s="204">
        <f t="shared" si="3"/>
        <v>9.0294929536539295E-2</v>
      </c>
      <c r="K16" s="204">
        <f t="shared" si="4"/>
        <v>0.11361325003632138</v>
      </c>
      <c r="L16" s="204">
        <f t="shared" si="5"/>
        <v>0.12966729623710591</v>
      </c>
      <c r="M16" s="204">
        <f t="shared" si="6"/>
        <v>0.14368734563417115</v>
      </c>
      <c r="N16" s="204">
        <f t="shared" si="7"/>
        <v>0.16119424669475518</v>
      </c>
      <c r="O16" s="204">
        <f t="shared" si="8"/>
        <v>0.17456051140491066</v>
      </c>
      <c r="P16" s="204">
        <f t="shared" si="9"/>
        <v>0.18698242045619642</v>
      </c>
    </row>
    <row r="17" spans="1:16" ht="12.45" customHeight="1">
      <c r="A17" s="121" t="s">
        <v>229</v>
      </c>
      <c r="B17" s="105">
        <v>119000</v>
      </c>
      <c r="C17" s="9">
        <v>126000</v>
      </c>
      <c r="D17" s="9">
        <v>128000</v>
      </c>
      <c r="E17" s="9">
        <v>126000</v>
      </c>
      <c r="F17" s="9">
        <v>164000</v>
      </c>
      <c r="G17" s="9">
        <v>189000</v>
      </c>
      <c r="H17" s="9">
        <v>177000</v>
      </c>
      <c r="I17" s="102">
        <f t="shared" si="1"/>
        <v>1029000</v>
      </c>
      <c r="J17" s="204">
        <f t="shared" si="3"/>
        <v>0.11564625850340136</v>
      </c>
      <c r="K17" s="204">
        <f t="shared" si="4"/>
        <v>0.12244897959183673</v>
      </c>
      <c r="L17" s="204">
        <f t="shared" si="5"/>
        <v>0.12439261418853255</v>
      </c>
      <c r="M17" s="204">
        <f t="shared" si="6"/>
        <v>0.12244897959183673</v>
      </c>
      <c r="N17" s="204">
        <f t="shared" si="7"/>
        <v>0.15937803692905733</v>
      </c>
      <c r="O17" s="204">
        <f t="shared" si="8"/>
        <v>0.18367346938775511</v>
      </c>
      <c r="P17" s="204">
        <f t="shared" si="9"/>
        <v>0.17201166180758018</v>
      </c>
    </row>
    <row r="18" spans="1:16" ht="12.45" customHeight="1">
      <c r="A18" s="121" t="s">
        <v>230</v>
      </c>
      <c r="B18" s="105">
        <v>101000</v>
      </c>
      <c r="C18" s="9">
        <v>96000</v>
      </c>
      <c r="D18" s="9">
        <v>124000</v>
      </c>
      <c r="E18" s="9">
        <v>90000</v>
      </c>
      <c r="F18" s="9">
        <v>172000</v>
      </c>
      <c r="G18" s="9">
        <v>147000</v>
      </c>
      <c r="H18" s="9">
        <v>170000</v>
      </c>
      <c r="I18" s="102">
        <f t="shared" si="1"/>
        <v>900000</v>
      </c>
      <c r="J18" s="204">
        <f t="shared" si="3"/>
        <v>0.11222222222222222</v>
      </c>
      <c r="K18" s="204">
        <f t="shared" si="4"/>
        <v>0.10666666666666667</v>
      </c>
      <c r="L18" s="204">
        <f t="shared" si="5"/>
        <v>0.13777777777777778</v>
      </c>
      <c r="M18" s="204">
        <f t="shared" si="6"/>
        <v>0.1</v>
      </c>
      <c r="N18" s="204">
        <f t="shared" si="7"/>
        <v>0.19111111111111112</v>
      </c>
      <c r="O18" s="204">
        <f t="shared" si="8"/>
        <v>0.16333333333333333</v>
      </c>
      <c r="P18" s="204">
        <f t="shared" si="9"/>
        <v>0.18888888888888888</v>
      </c>
    </row>
    <row r="19" spans="1:16" ht="12.45" customHeight="1">
      <c r="A19" s="121" t="s">
        <v>231</v>
      </c>
      <c r="B19" s="105">
        <v>920000</v>
      </c>
      <c r="C19" s="9">
        <v>960000</v>
      </c>
      <c r="D19" s="9">
        <v>988000</v>
      </c>
      <c r="E19" s="9">
        <v>1083000</v>
      </c>
      <c r="F19" s="9">
        <v>1061000</v>
      </c>
      <c r="G19" s="9">
        <v>1158000</v>
      </c>
      <c r="H19" s="9">
        <v>1222000</v>
      </c>
      <c r="I19" s="102">
        <f t="shared" si="1"/>
        <v>7392000</v>
      </c>
      <c r="J19" s="204">
        <f t="shared" si="3"/>
        <v>0.12445887445887446</v>
      </c>
      <c r="K19" s="204">
        <f t="shared" si="4"/>
        <v>0.12987012987012986</v>
      </c>
      <c r="L19" s="204">
        <f t="shared" si="5"/>
        <v>0.13365800865800867</v>
      </c>
      <c r="M19" s="204">
        <f t="shared" si="6"/>
        <v>0.14650974025974026</v>
      </c>
      <c r="N19" s="204">
        <f t="shared" si="7"/>
        <v>0.14353354978354979</v>
      </c>
      <c r="O19" s="204">
        <f t="shared" si="8"/>
        <v>0.15665584415584416</v>
      </c>
      <c r="P19" s="204">
        <f t="shared" si="9"/>
        <v>0.1653138528138528</v>
      </c>
    </row>
    <row r="20" spans="1:16" ht="12.45" customHeight="1">
      <c r="A20" s="120" t="s">
        <v>175</v>
      </c>
      <c r="B20" s="105">
        <v>2779000</v>
      </c>
      <c r="C20" s="9">
        <v>3784000</v>
      </c>
      <c r="D20" s="9">
        <v>4065000</v>
      </c>
      <c r="E20" s="9">
        <v>4222000</v>
      </c>
      <c r="F20" s="9">
        <v>4338000</v>
      </c>
      <c r="G20" s="9">
        <v>4794000</v>
      </c>
      <c r="H20" s="9">
        <v>5031000</v>
      </c>
      <c r="I20" s="102">
        <f t="shared" si="1"/>
        <v>29013000</v>
      </c>
      <c r="J20" s="204">
        <f t="shared" si="3"/>
        <v>9.5784648261124331E-2</v>
      </c>
      <c r="K20" s="204">
        <f t="shared" si="4"/>
        <v>0.13042429255850826</v>
      </c>
      <c r="L20" s="204">
        <f t="shared" si="5"/>
        <v>0.14010960603867231</v>
      </c>
      <c r="M20" s="204">
        <f t="shared" si="6"/>
        <v>0.14552097335677111</v>
      </c>
      <c r="N20" s="204">
        <f t="shared" si="7"/>
        <v>0.14951918105676765</v>
      </c>
      <c r="O20" s="204">
        <f t="shared" si="8"/>
        <v>0.16523627339468513</v>
      </c>
      <c r="P20" s="204">
        <f t="shared" si="9"/>
        <v>0.17340502533347121</v>
      </c>
    </row>
    <row r="21" spans="1:16" ht="12.45" customHeight="1">
      <c r="A21" s="120" t="s">
        <v>176</v>
      </c>
      <c r="B21" s="105">
        <v>15057000</v>
      </c>
      <c r="C21" s="9">
        <v>18589000</v>
      </c>
      <c r="D21" s="9">
        <v>20449000</v>
      </c>
      <c r="E21" s="9">
        <v>20769000</v>
      </c>
      <c r="F21" s="9">
        <v>21946000</v>
      </c>
      <c r="G21" s="9">
        <v>22403000</v>
      </c>
      <c r="H21" s="9">
        <v>22219000</v>
      </c>
      <c r="I21" s="102">
        <f t="shared" si="1"/>
        <v>141432000</v>
      </c>
      <c r="J21" s="204">
        <f t="shared" si="3"/>
        <v>0.10646105548956389</v>
      </c>
      <c r="K21" s="204">
        <f t="shared" si="4"/>
        <v>0.13143418745404151</v>
      </c>
      <c r="L21" s="204">
        <f t="shared" si="5"/>
        <v>0.14458538378867583</v>
      </c>
      <c r="M21" s="204">
        <f t="shared" si="6"/>
        <v>0.14684795520108604</v>
      </c>
      <c r="N21" s="204">
        <f t="shared" si="7"/>
        <v>0.15516997567735732</v>
      </c>
      <c r="O21" s="204">
        <f t="shared" si="8"/>
        <v>0.15840121047570563</v>
      </c>
      <c r="P21" s="204">
        <f t="shared" si="9"/>
        <v>0.15710023191356978</v>
      </c>
    </row>
    <row r="22" spans="1:16" ht="12.45" customHeight="1">
      <c r="A22" s="114" t="s">
        <v>669</v>
      </c>
      <c r="B22" s="144">
        <v>8677000</v>
      </c>
      <c r="C22" s="143">
        <v>11118000</v>
      </c>
      <c r="D22" s="143">
        <v>11728000</v>
      </c>
      <c r="E22" s="143">
        <v>12888000</v>
      </c>
      <c r="F22" s="143">
        <v>13260000</v>
      </c>
      <c r="G22" s="143">
        <v>14158000</v>
      </c>
      <c r="H22" s="143">
        <v>14688000</v>
      </c>
      <c r="I22" s="280">
        <f t="shared" si="1"/>
        <v>86517000</v>
      </c>
      <c r="J22" s="281">
        <f t="shared" si="3"/>
        <v>0.10029242807771883</v>
      </c>
      <c r="K22" s="281">
        <f t="shared" si="4"/>
        <v>0.12850653628766601</v>
      </c>
      <c r="L22" s="281">
        <f t="shared" si="5"/>
        <v>0.13555717373464174</v>
      </c>
      <c r="M22" s="281">
        <f t="shared" si="6"/>
        <v>0.14896494330593987</v>
      </c>
      <c r="N22" s="281">
        <f t="shared" si="7"/>
        <v>0.15326467630639065</v>
      </c>
      <c r="O22" s="281">
        <f t="shared" si="8"/>
        <v>0.16364413930210248</v>
      </c>
      <c r="P22" s="281">
        <f t="shared" si="9"/>
        <v>0.16977010298554041</v>
      </c>
    </row>
    <row r="23" spans="1:16" ht="12.45" customHeight="1">
      <c r="A23" s="115" t="s">
        <v>174</v>
      </c>
      <c r="B23" s="105">
        <v>1406000</v>
      </c>
      <c r="C23" s="9">
        <v>1644000</v>
      </c>
      <c r="D23" s="9">
        <v>1689000</v>
      </c>
      <c r="E23" s="9">
        <v>2076000</v>
      </c>
      <c r="F23" s="9">
        <v>2069000</v>
      </c>
      <c r="G23" s="9">
        <v>2286000</v>
      </c>
      <c r="H23" s="9">
        <v>2411000</v>
      </c>
      <c r="I23" s="102">
        <f t="shared" si="1"/>
        <v>13581000</v>
      </c>
      <c r="J23" s="204">
        <f t="shared" si="3"/>
        <v>0.10352698623076356</v>
      </c>
      <c r="K23" s="204">
        <f t="shared" si="4"/>
        <v>0.12105146896399381</v>
      </c>
      <c r="L23" s="204">
        <f t="shared" si="5"/>
        <v>0.12436492158162138</v>
      </c>
      <c r="M23" s="204">
        <f t="shared" si="6"/>
        <v>0.15286061409321847</v>
      </c>
      <c r="N23" s="204">
        <f t="shared" si="7"/>
        <v>0.1523451881304764</v>
      </c>
      <c r="O23" s="204">
        <f t="shared" si="8"/>
        <v>0.16832339297548046</v>
      </c>
      <c r="P23" s="204">
        <f t="shared" si="9"/>
        <v>0.1775274280244459</v>
      </c>
    </row>
    <row r="24" spans="1:16" ht="12.45" customHeight="1">
      <c r="A24" s="186" t="s">
        <v>227</v>
      </c>
      <c r="B24" s="105">
        <v>94000</v>
      </c>
      <c r="C24" s="9">
        <v>152000</v>
      </c>
      <c r="D24" s="9">
        <v>158000</v>
      </c>
      <c r="E24" s="9">
        <v>169000</v>
      </c>
      <c r="F24" s="9">
        <v>149000</v>
      </c>
      <c r="G24" s="9">
        <v>152000</v>
      </c>
      <c r="H24" s="9">
        <v>188000</v>
      </c>
      <c r="I24" s="102">
        <f t="shared" si="1"/>
        <v>1062000</v>
      </c>
      <c r="J24" s="204">
        <f t="shared" si="3"/>
        <v>8.851224105461393E-2</v>
      </c>
      <c r="K24" s="204">
        <f t="shared" si="4"/>
        <v>0.1431261770244821</v>
      </c>
      <c r="L24" s="204">
        <f t="shared" si="5"/>
        <v>0.1487758945386064</v>
      </c>
      <c r="M24" s="204">
        <f t="shared" si="6"/>
        <v>0.1591337099811676</v>
      </c>
      <c r="N24" s="204">
        <f t="shared" si="7"/>
        <v>0.14030131826741996</v>
      </c>
      <c r="O24" s="204">
        <f t="shared" si="8"/>
        <v>0.1431261770244821</v>
      </c>
      <c r="P24" s="204">
        <f t="shared" si="9"/>
        <v>0.17702448210922786</v>
      </c>
    </row>
    <row r="25" spans="1:16" ht="12.45" customHeight="1">
      <c r="A25" s="116" t="s">
        <v>228</v>
      </c>
      <c r="B25" s="105">
        <v>581000</v>
      </c>
      <c r="C25" s="9">
        <v>717000</v>
      </c>
      <c r="D25" s="9">
        <v>744000</v>
      </c>
      <c r="E25" s="9">
        <v>1048000</v>
      </c>
      <c r="F25" s="9">
        <v>1039000</v>
      </c>
      <c r="G25" s="9">
        <v>1168000</v>
      </c>
      <c r="H25" s="9">
        <v>1251000</v>
      </c>
      <c r="I25" s="102">
        <f t="shared" si="1"/>
        <v>6548000</v>
      </c>
      <c r="J25" s="204">
        <f t="shared" si="3"/>
        <v>8.8729383017715338E-2</v>
      </c>
      <c r="K25" s="204">
        <f t="shared" si="4"/>
        <v>0.10949908368967624</v>
      </c>
      <c r="L25" s="204">
        <f t="shared" si="5"/>
        <v>0.11362248014660965</v>
      </c>
      <c r="M25" s="204">
        <f t="shared" si="6"/>
        <v>0.16004886988393402</v>
      </c>
      <c r="N25" s="204">
        <f t="shared" si="7"/>
        <v>0.15867440439828956</v>
      </c>
      <c r="O25" s="204">
        <f t="shared" si="8"/>
        <v>0.17837507635919364</v>
      </c>
      <c r="P25" s="204">
        <f t="shared" si="9"/>
        <v>0.19105070250458156</v>
      </c>
    </row>
    <row r="26" spans="1:16" ht="12.45" customHeight="1">
      <c r="A26" s="116" t="s">
        <v>229</v>
      </c>
      <c r="B26" s="105">
        <v>82000</v>
      </c>
      <c r="C26" s="9">
        <v>87000</v>
      </c>
      <c r="D26" s="9">
        <v>83000</v>
      </c>
      <c r="E26" s="9">
        <v>85000</v>
      </c>
      <c r="F26" s="9">
        <v>98000</v>
      </c>
      <c r="G26" s="9">
        <v>97000</v>
      </c>
      <c r="H26" s="9">
        <v>105000</v>
      </c>
      <c r="I26" s="102">
        <f t="shared" si="1"/>
        <v>637000</v>
      </c>
      <c r="J26" s="204">
        <f t="shared" si="3"/>
        <v>0.12872841444270017</v>
      </c>
      <c r="K26" s="204">
        <f t="shared" si="4"/>
        <v>0.13657770800627944</v>
      </c>
      <c r="L26" s="204">
        <f t="shared" si="5"/>
        <v>0.13029827315541601</v>
      </c>
      <c r="M26" s="204">
        <f t="shared" si="6"/>
        <v>0.13343799058084774</v>
      </c>
      <c r="N26" s="204">
        <f t="shared" si="7"/>
        <v>0.15384615384615385</v>
      </c>
      <c r="O26" s="204">
        <f t="shared" si="8"/>
        <v>0.15227629513343799</v>
      </c>
      <c r="P26" s="204">
        <f t="shared" si="9"/>
        <v>0.16483516483516483</v>
      </c>
    </row>
    <row r="27" spans="1:16" ht="12.45" customHeight="1">
      <c r="A27" s="116" t="s">
        <v>230</v>
      </c>
      <c r="B27" s="105">
        <v>205000</v>
      </c>
      <c r="C27" s="9">
        <v>218000</v>
      </c>
      <c r="D27" s="9">
        <v>249000</v>
      </c>
      <c r="E27" s="9">
        <v>249000</v>
      </c>
      <c r="F27" s="9">
        <v>235000</v>
      </c>
      <c r="G27" s="9">
        <v>249000</v>
      </c>
      <c r="H27" s="9">
        <v>283000</v>
      </c>
      <c r="I27" s="102">
        <f t="shared" si="1"/>
        <v>1688000</v>
      </c>
      <c r="J27" s="204">
        <f t="shared" si="3"/>
        <v>0.12144549763033176</v>
      </c>
      <c r="K27" s="204">
        <f t="shared" si="4"/>
        <v>0.12914691943127962</v>
      </c>
      <c r="L27" s="204">
        <f t="shared" si="5"/>
        <v>0.14751184834123224</v>
      </c>
      <c r="M27" s="204">
        <f t="shared" si="6"/>
        <v>0.14751184834123224</v>
      </c>
      <c r="N27" s="204">
        <f t="shared" si="7"/>
        <v>0.13921800947867299</v>
      </c>
      <c r="O27" s="204">
        <f t="shared" si="8"/>
        <v>0.14751184834123224</v>
      </c>
      <c r="P27" s="204">
        <f t="shared" si="9"/>
        <v>0.16765402843601895</v>
      </c>
    </row>
    <row r="28" spans="1:16" ht="12.45" customHeight="1">
      <c r="A28" s="116" t="s">
        <v>231</v>
      </c>
      <c r="B28" s="105">
        <v>443000</v>
      </c>
      <c r="C28" s="9">
        <v>472000</v>
      </c>
      <c r="D28" s="9">
        <v>456000</v>
      </c>
      <c r="E28" s="9">
        <v>525000</v>
      </c>
      <c r="F28" s="9">
        <v>548000</v>
      </c>
      <c r="G28" s="9">
        <v>619000</v>
      </c>
      <c r="H28" s="9">
        <v>584000</v>
      </c>
      <c r="I28" s="102">
        <f t="shared" si="1"/>
        <v>3647000</v>
      </c>
      <c r="J28" s="204">
        <f t="shared" si="3"/>
        <v>0.12146970112421168</v>
      </c>
      <c r="K28" s="204">
        <f t="shared" si="4"/>
        <v>0.12942144228132713</v>
      </c>
      <c r="L28" s="204">
        <f t="shared" si="5"/>
        <v>0.12503427474636689</v>
      </c>
      <c r="M28" s="204">
        <f t="shared" si="6"/>
        <v>0.14395393474088292</v>
      </c>
      <c r="N28" s="204">
        <f t="shared" si="7"/>
        <v>0.15026048807238826</v>
      </c>
      <c r="O28" s="204">
        <f t="shared" si="8"/>
        <v>0.16972854400877432</v>
      </c>
      <c r="P28" s="204">
        <f t="shared" si="9"/>
        <v>0.16013161502604881</v>
      </c>
    </row>
    <row r="29" spans="1:16" ht="12.45" customHeight="1">
      <c r="A29" s="115" t="s">
        <v>175</v>
      </c>
      <c r="B29" s="105">
        <v>1208000</v>
      </c>
      <c r="C29" s="9">
        <v>1765000</v>
      </c>
      <c r="D29" s="9">
        <v>1945000</v>
      </c>
      <c r="E29" s="9">
        <v>2064000</v>
      </c>
      <c r="F29" s="9">
        <v>2262000</v>
      </c>
      <c r="G29" s="9">
        <v>2332000</v>
      </c>
      <c r="H29" s="9">
        <v>2578000</v>
      </c>
      <c r="I29" s="102">
        <f t="shared" si="1"/>
        <v>14154000</v>
      </c>
      <c r="J29" s="204">
        <f t="shared" si="3"/>
        <v>8.5346898403278221E-2</v>
      </c>
      <c r="K29" s="204">
        <f t="shared" si="4"/>
        <v>0.12469973152465734</v>
      </c>
      <c r="L29" s="204">
        <f t="shared" si="5"/>
        <v>0.13741698459799351</v>
      </c>
      <c r="M29" s="204">
        <f t="shared" si="6"/>
        <v>0.14582450190758797</v>
      </c>
      <c r="N29" s="204">
        <f t="shared" si="7"/>
        <v>0.15981348028825773</v>
      </c>
      <c r="O29" s="204">
        <f t="shared" si="8"/>
        <v>0.16475907870566625</v>
      </c>
      <c r="P29" s="204">
        <f t="shared" si="9"/>
        <v>0.18213932457255899</v>
      </c>
    </row>
    <row r="30" spans="1:16" ht="12.45" customHeight="1">
      <c r="A30" s="115" t="s">
        <v>176</v>
      </c>
      <c r="B30" s="105">
        <v>6063000</v>
      </c>
      <c r="C30" s="9">
        <v>7709000</v>
      </c>
      <c r="D30" s="9">
        <v>8093000</v>
      </c>
      <c r="E30" s="9">
        <v>8749000</v>
      </c>
      <c r="F30" s="9">
        <v>8929000</v>
      </c>
      <c r="G30" s="9">
        <v>9540000</v>
      </c>
      <c r="H30" s="9">
        <v>9699000</v>
      </c>
      <c r="I30" s="102">
        <f t="shared" si="1"/>
        <v>58782000</v>
      </c>
      <c r="J30" s="204">
        <f t="shared" si="3"/>
        <v>0.10314381953659284</v>
      </c>
      <c r="K30" s="204">
        <f t="shared" si="4"/>
        <v>0.13114558878568269</v>
      </c>
      <c r="L30" s="204">
        <f t="shared" si="5"/>
        <v>0.13767820080977169</v>
      </c>
      <c r="M30" s="204">
        <f t="shared" si="6"/>
        <v>0.14883807968425708</v>
      </c>
      <c r="N30" s="204">
        <f t="shared" si="7"/>
        <v>0.15190024157054879</v>
      </c>
      <c r="O30" s="204">
        <f t="shared" si="8"/>
        <v>0.16229457997346125</v>
      </c>
      <c r="P30" s="204">
        <f t="shared" si="9"/>
        <v>0.16499948963968561</v>
      </c>
    </row>
    <row r="31" spans="1:16" ht="12.45" customHeight="1">
      <c r="A31" s="135" t="s">
        <v>670</v>
      </c>
      <c r="B31" s="136">
        <v>1271000</v>
      </c>
      <c r="C31" s="137">
        <v>1500000</v>
      </c>
      <c r="D31" s="137">
        <v>1551000</v>
      </c>
      <c r="E31" s="137">
        <v>1641000</v>
      </c>
      <c r="F31" s="137">
        <v>1796000</v>
      </c>
      <c r="G31" s="137">
        <v>2090000</v>
      </c>
      <c r="H31" s="137">
        <v>2141000</v>
      </c>
      <c r="I31" s="282">
        <f t="shared" si="1"/>
        <v>11990000</v>
      </c>
      <c r="J31" s="283">
        <f t="shared" si="3"/>
        <v>0.10600500417014179</v>
      </c>
      <c r="K31" s="283">
        <f t="shared" si="4"/>
        <v>0.12510425354462051</v>
      </c>
      <c r="L31" s="283">
        <f t="shared" si="5"/>
        <v>0.12935779816513762</v>
      </c>
      <c r="M31" s="283">
        <f t="shared" si="6"/>
        <v>0.13686405337781485</v>
      </c>
      <c r="N31" s="283">
        <f t="shared" si="7"/>
        <v>0.14979149291075897</v>
      </c>
      <c r="O31" s="283">
        <f t="shared" si="8"/>
        <v>0.1743119266055046</v>
      </c>
      <c r="P31" s="283">
        <f t="shared" si="9"/>
        <v>0.17856547122602168</v>
      </c>
    </row>
    <row r="32" spans="1:16" ht="12.45" customHeight="1">
      <c r="A32" s="138" t="s">
        <v>174</v>
      </c>
      <c r="B32" s="105">
        <v>605000</v>
      </c>
      <c r="C32" s="9">
        <v>692000</v>
      </c>
      <c r="D32" s="9">
        <v>724000</v>
      </c>
      <c r="E32" s="9">
        <v>751000</v>
      </c>
      <c r="F32" s="9">
        <v>786000</v>
      </c>
      <c r="G32" s="9">
        <v>938000</v>
      </c>
      <c r="H32" s="9">
        <v>962000</v>
      </c>
      <c r="I32" s="102">
        <f t="shared" si="1"/>
        <v>5458000</v>
      </c>
      <c r="J32" s="204">
        <f t="shared" si="3"/>
        <v>0.11084646390619274</v>
      </c>
      <c r="K32" s="204">
        <f t="shared" si="4"/>
        <v>0.12678636863319898</v>
      </c>
      <c r="L32" s="204">
        <f t="shared" si="5"/>
        <v>0.13264932209600586</v>
      </c>
      <c r="M32" s="204">
        <f t="shared" si="6"/>
        <v>0.13759618908024918</v>
      </c>
      <c r="N32" s="204">
        <f t="shared" si="7"/>
        <v>0.14400879443019421</v>
      </c>
      <c r="O32" s="204">
        <f t="shared" si="8"/>
        <v>0.17185782337852692</v>
      </c>
      <c r="P32" s="204">
        <f t="shared" si="9"/>
        <v>0.17625503847563209</v>
      </c>
    </row>
    <row r="33" spans="1:16" ht="12.45" customHeight="1">
      <c r="A33" s="150" t="s">
        <v>227</v>
      </c>
      <c r="B33" s="105">
        <v>164000</v>
      </c>
      <c r="C33" s="9">
        <v>199000</v>
      </c>
      <c r="D33" s="9">
        <v>202000</v>
      </c>
      <c r="E33" s="9">
        <v>207000</v>
      </c>
      <c r="F33" s="9">
        <v>217000</v>
      </c>
      <c r="G33" s="9">
        <v>254000</v>
      </c>
      <c r="H33" s="9">
        <v>291000</v>
      </c>
      <c r="I33" s="102">
        <f t="shared" si="1"/>
        <v>1534000</v>
      </c>
      <c r="J33" s="204">
        <f t="shared" si="3"/>
        <v>0.10691003911342895</v>
      </c>
      <c r="K33" s="204">
        <f t="shared" si="4"/>
        <v>0.12972620599739243</v>
      </c>
      <c r="L33" s="204">
        <f t="shared" si="5"/>
        <v>0.13168187744458931</v>
      </c>
      <c r="M33" s="204">
        <f t="shared" si="6"/>
        <v>0.13494132985658408</v>
      </c>
      <c r="N33" s="204">
        <f t="shared" si="7"/>
        <v>0.14146023468057367</v>
      </c>
      <c r="O33" s="204">
        <f t="shared" si="8"/>
        <v>0.16558018252933507</v>
      </c>
      <c r="P33" s="204">
        <f t="shared" si="9"/>
        <v>0.18970013037809649</v>
      </c>
    </row>
    <row r="34" spans="1:16" ht="12.45" customHeight="1">
      <c r="A34" s="139" t="s">
        <v>228</v>
      </c>
      <c r="B34" s="105">
        <v>95000</v>
      </c>
      <c r="C34" s="9">
        <v>108000</v>
      </c>
      <c r="D34" s="9">
        <v>112000</v>
      </c>
      <c r="E34" s="9">
        <v>117000</v>
      </c>
      <c r="F34" s="9">
        <v>150000</v>
      </c>
      <c r="G34" s="9">
        <v>189000</v>
      </c>
      <c r="H34" s="9">
        <v>185000</v>
      </c>
      <c r="I34" s="102">
        <f t="shared" si="1"/>
        <v>956000</v>
      </c>
      <c r="J34" s="204">
        <f t="shared" si="3"/>
        <v>9.9372384937238489E-2</v>
      </c>
      <c r="K34" s="204">
        <f t="shared" si="4"/>
        <v>0.11297071129707113</v>
      </c>
      <c r="L34" s="204">
        <f t="shared" si="5"/>
        <v>0.11715481171548117</v>
      </c>
      <c r="M34" s="204">
        <f t="shared" si="6"/>
        <v>0.12238493723849372</v>
      </c>
      <c r="N34" s="204">
        <f t="shared" si="7"/>
        <v>0.15690376569037656</v>
      </c>
      <c r="O34" s="204">
        <f t="shared" si="8"/>
        <v>0.19769874476987448</v>
      </c>
      <c r="P34" s="204">
        <f t="shared" si="9"/>
        <v>0.19351464435146443</v>
      </c>
    </row>
    <row r="35" spans="1:16" ht="12.45" customHeight="1">
      <c r="A35" s="139" t="s">
        <v>229</v>
      </c>
      <c r="B35" s="105">
        <v>94000</v>
      </c>
      <c r="C35" s="9">
        <v>114000</v>
      </c>
      <c r="D35" s="9">
        <v>112000</v>
      </c>
      <c r="E35" s="9">
        <v>119000</v>
      </c>
      <c r="F35" s="9">
        <v>101000</v>
      </c>
      <c r="G35" s="9">
        <v>121000</v>
      </c>
      <c r="H35" s="9">
        <v>125000</v>
      </c>
      <c r="I35" s="102">
        <f t="shared" si="1"/>
        <v>786000</v>
      </c>
      <c r="J35" s="204">
        <f t="shared" si="3"/>
        <v>0.11959287531806616</v>
      </c>
      <c r="K35" s="204">
        <f t="shared" si="4"/>
        <v>0.14503816793893129</v>
      </c>
      <c r="L35" s="204">
        <f t="shared" si="5"/>
        <v>0.14249363867684478</v>
      </c>
      <c r="M35" s="204">
        <f t="shared" si="6"/>
        <v>0.15139949109414758</v>
      </c>
      <c r="N35" s="204">
        <f t="shared" si="7"/>
        <v>0.12849872773536897</v>
      </c>
      <c r="O35" s="204">
        <f t="shared" si="8"/>
        <v>0.15394402035623408</v>
      </c>
      <c r="P35" s="204">
        <f t="shared" si="9"/>
        <v>0.15903307888040713</v>
      </c>
    </row>
    <row r="36" spans="1:16" ht="12.45" customHeight="1">
      <c r="A36" s="139" t="s">
        <v>230</v>
      </c>
      <c r="B36" s="105">
        <v>154000</v>
      </c>
      <c r="C36" s="9">
        <v>173000</v>
      </c>
      <c r="D36" s="9">
        <v>190000</v>
      </c>
      <c r="E36" s="9">
        <v>201000</v>
      </c>
      <c r="F36" s="9">
        <v>201000</v>
      </c>
      <c r="G36" s="9">
        <v>235000</v>
      </c>
      <c r="H36" s="9">
        <v>221000</v>
      </c>
      <c r="I36" s="102">
        <f t="shared" si="1"/>
        <v>1375000</v>
      </c>
      <c r="J36" s="204">
        <f t="shared" si="3"/>
        <v>0.112</v>
      </c>
      <c r="K36" s="204">
        <f t="shared" si="4"/>
        <v>0.12581818181818183</v>
      </c>
      <c r="L36" s="204">
        <f t="shared" si="5"/>
        <v>0.13818181818181818</v>
      </c>
      <c r="M36" s="204">
        <f t="shared" si="6"/>
        <v>0.14618181818181819</v>
      </c>
      <c r="N36" s="204">
        <f t="shared" si="7"/>
        <v>0.14618181818181819</v>
      </c>
      <c r="O36" s="204">
        <f t="shared" si="8"/>
        <v>0.1709090909090909</v>
      </c>
      <c r="P36" s="204">
        <f t="shared" si="9"/>
        <v>0.16072727272727272</v>
      </c>
    </row>
    <row r="37" spans="1:16" ht="12.45" customHeight="1">
      <c r="A37" s="139" t="s">
        <v>231</v>
      </c>
      <c r="B37" s="105">
        <v>97000</v>
      </c>
      <c r="C37" s="9">
        <v>97000</v>
      </c>
      <c r="D37" s="9">
        <v>108000</v>
      </c>
      <c r="E37" s="9">
        <v>107000</v>
      </c>
      <c r="F37" s="9">
        <v>116000</v>
      </c>
      <c r="G37" s="9">
        <v>139000</v>
      </c>
      <c r="H37" s="9">
        <v>141000</v>
      </c>
      <c r="I37" s="102">
        <f t="shared" si="1"/>
        <v>805000</v>
      </c>
      <c r="J37" s="204">
        <f t="shared" si="3"/>
        <v>0.12049689440993788</v>
      </c>
      <c r="K37" s="204">
        <f t="shared" si="4"/>
        <v>0.12049689440993788</v>
      </c>
      <c r="L37" s="204">
        <f t="shared" si="5"/>
        <v>0.1341614906832298</v>
      </c>
      <c r="M37" s="204">
        <f t="shared" si="6"/>
        <v>0.13291925465838508</v>
      </c>
      <c r="N37" s="204">
        <f t="shared" si="7"/>
        <v>0.14409937888198757</v>
      </c>
      <c r="O37" s="204">
        <f t="shared" si="8"/>
        <v>0.17267080745341615</v>
      </c>
      <c r="P37" s="204">
        <f t="shared" si="9"/>
        <v>0.17515527950310558</v>
      </c>
    </row>
    <row r="38" spans="1:16" ht="12.45" customHeight="1">
      <c r="A38" s="138" t="s">
        <v>175</v>
      </c>
      <c r="B38" s="105">
        <v>123000</v>
      </c>
      <c r="C38" s="9">
        <v>224000</v>
      </c>
      <c r="D38" s="9">
        <v>236000</v>
      </c>
      <c r="E38" s="9">
        <v>229000</v>
      </c>
      <c r="F38" s="9">
        <v>267000</v>
      </c>
      <c r="G38" s="9">
        <v>387000</v>
      </c>
      <c r="H38" s="9">
        <v>374000</v>
      </c>
      <c r="I38" s="102">
        <f t="shared" si="1"/>
        <v>1840000</v>
      </c>
      <c r="J38" s="204">
        <f t="shared" si="3"/>
        <v>6.6847826086956524E-2</v>
      </c>
      <c r="K38" s="204">
        <f t="shared" si="4"/>
        <v>0.12173913043478261</v>
      </c>
      <c r="L38" s="204">
        <f t="shared" si="5"/>
        <v>0.1282608695652174</v>
      </c>
      <c r="M38" s="204">
        <f t="shared" si="6"/>
        <v>0.12445652173913044</v>
      </c>
      <c r="N38" s="204">
        <f t="shared" si="7"/>
        <v>0.14510869565217391</v>
      </c>
      <c r="O38" s="204">
        <f t="shared" si="8"/>
        <v>0.21032608695652175</v>
      </c>
      <c r="P38" s="204">
        <f t="shared" si="9"/>
        <v>0.20326086956521738</v>
      </c>
    </row>
    <row r="39" spans="1:16" ht="12.45" customHeight="1">
      <c r="A39" s="138" t="s">
        <v>176</v>
      </c>
      <c r="B39" s="105">
        <v>543000</v>
      </c>
      <c r="C39" s="9">
        <v>584000</v>
      </c>
      <c r="D39" s="9">
        <v>590000</v>
      </c>
      <c r="E39" s="9">
        <v>662000</v>
      </c>
      <c r="F39" s="9">
        <v>743000</v>
      </c>
      <c r="G39" s="9">
        <v>765000</v>
      </c>
      <c r="H39" s="9">
        <v>805000</v>
      </c>
      <c r="I39" s="102">
        <f t="shared" si="1"/>
        <v>4692000</v>
      </c>
      <c r="J39" s="204">
        <f t="shared" si="3"/>
        <v>0.11572890025575447</v>
      </c>
      <c r="K39" s="204">
        <f t="shared" si="4"/>
        <v>0.12446717817561807</v>
      </c>
      <c r="L39" s="204">
        <f t="shared" si="5"/>
        <v>0.12574595055413471</v>
      </c>
      <c r="M39" s="204">
        <f t="shared" si="6"/>
        <v>0.14109121909633418</v>
      </c>
      <c r="N39" s="204">
        <f t="shared" si="7"/>
        <v>0.1583546462063086</v>
      </c>
      <c r="O39" s="204">
        <f t="shared" si="8"/>
        <v>0.16304347826086957</v>
      </c>
      <c r="P39" s="204">
        <f t="shared" si="9"/>
        <v>0.17156862745098039</v>
      </c>
    </row>
    <row r="40" spans="1:16" ht="12.45" customHeight="1">
      <c r="A40" s="111" t="s">
        <v>679</v>
      </c>
      <c r="B40" s="109">
        <v>2261000</v>
      </c>
      <c r="C40" s="104">
        <v>2651000</v>
      </c>
      <c r="D40" s="104">
        <v>2758000</v>
      </c>
      <c r="E40" s="104">
        <v>2903000</v>
      </c>
      <c r="F40" s="104">
        <v>3036000</v>
      </c>
      <c r="G40" s="104">
        <v>2903000</v>
      </c>
      <c r="H40" s="104">
        <v>3246000</v>
      </c>
    </row>
    <row r="41" spans="1:16" ht="12.45" customHeight="1">
      <c r="A41" s="112" t="s">
        <v>174</v>
      </c>
      <c r="B41" s="105">
        <v>49000</v>
      </c>
      <c r="C41" s="9">
        <v>58000</v>
      </c>
      <c r="D41" s="9">
        <v>64000</v>
      </c>
      <c r="E41" s="9">
        <v>63000</v>
      </c>
      <c r="F41" s="9">
        <v>67000</v>
      </c>
      <c r="G41" s="9">
        <v>67000</v>
      </c>
      <c r="H41" s="9">
        <v>82000</v>
      </c>
    </row>
    <row r="42" spans="1:16" ht="12.45" customHeight="1">
      <c r="A42" s="151" t="s">
        <v>227</v>
      </c>
      <c r="B42" s="105">
        <v>17000</v>
      </c>
      <c r="C42" s="9">
        <v>17000</v>
      </c>
      <c r="D42" s="9">
        <v>14000</v>
      </c>
      <c r="E42" s="9">
        <v>14000</v>
      </c>
      <c r="F42" s="9">
        <v>15000</v>
      </c>
      <c r="G42" s="9">
        <v>14000</v>
      </c>
      <c r="H42" s="9">
        <v>20000</v>
      </c>
    </row>
    <row r="43" spans="1:16" ht="12.45" customHeight="1">
      <c r="A43" s="163" t="s">
        <v>228</v>
      </c>
      <c r="B43" s="105">
        <v>11000</v>
      </c>
      <c r="C43" s="9">
        <v>7000</v>
      </c>
      <c r="D43" s="9">
        <v>11000</v>
      </c>
      <c r="E43" s="9">
        <v>13000</v>
      </c>
      <c r="F43" s="9">
        <v>11000</v>
      </c>
      <c r="G43" s="9">
        <v>14000</v>
      </c>
      <c r="H43" s="9">
        <v>22000</v>
      </c>
    </row>
    <row r="44" spans="1:16" ht="12.45" customHeight="1">
      <c r="A44" s="163" t="s">
        <v>229</v>
      </c>
      <c r="B44" s="105">
        <v>2000</v>
      </c>
      <c r="C44" s="13" t="s">
        <v>222</v>
      </c>
      <c r="D44" s="9">
        <v>1000</v>
      </c>
      <c r="E44" s="13" t="s">
        <v>222</v>
      </c>
      <c r="F44" s="9">
        <v>2000</v>
      </c>
      <c r="G44" s="9">
        <v>2000</v>
      </c>
      <c r="H44" s="9">
        <v>1000</v>
      </c>
    </row>
    <row r="45" spans="1:16" ht="12.45" customHeight="1">
      <c r="A45" s="163" t="s">
        <v>230</v>
      </c>
      <c r="B45" s="105">
        <v>17000</v>
      </c>
      <c r="C45" s="9">
        <v>31000</v>
      </c>
      <c r="D45" s="9">
        <v>35000</v>
      </c>
      <c r="E45" s="9">
        <v>30000</v>
      </c>
      <c r="F45" s="9">
        <v>37000</v>
      </c>
      <c r="G45" s="9">
        <v>32000</v>
      </c>
      <c r="H45" s="9">
        <v>38000</v>
      </c>
    </row>
    <row r="46" spans="1:16" ht="12.45" customHeight="1">
      <c r="A46" s="163" t="s">
        <v>231</v>
      </c>
      <c r="B46" s="105">
        <v>2000</v>
      </c>
      <c r="C46" s="9">
        <v>1000</v>
      </c>
      <c r="D46" s="9">
        <v>2000</v>
      </c>
      <c r="E46" s="9">
        <v>5000</v>
      </c>
      <c r="F46" s="9">
        <v>2000</v>
      </c>
      <c r="G46" s="9">
        <v>5000</v>
      </c>
      <c r="H46" s="13" t="s">
        <v>191</v>
      </c>
    </row>
    <row r="47" spans="1:16" ht="12.45" customHeight="1">
      <c r="A47" s="112" t="s">
        <v>175</v>
      </c>
      <c r="B47" s="105">
        <v>1045000</v>
      </c>
      <c r="C47" s="9">
        <v>1193000</v>
      </c>
      <c r="D47" s="9">
        <v>1262000</v>
      </c>
      <c r="E47" s="9">
        <v>1353000</v>
      </c>
      <c r="F47" s="9">
        <v>1404000</v>
      </c>
      <c r="G47" s="9">
        <v>1380000</v>
      </c>
      <c r="H47" s="9">
        <v>1538000</v>
      </c>
    </row>
    <row r="48" spans="1:16" ht="12.45" customHeight="1">
      <c r="A48" s="112" t="s">
        <v>176</v>
      </c>
      <c r="B48" s="105">
        <v>1167000</v>
      </c>
      <c r="C48" s="9">
        <v>1399000</v>
      </c>
      <c r="D48" s="9">
        <v>1433000</v>
      </c>
      <c r="E48" s="9">
        <v>1487000</v>
      </c>
      <c r="F48" s="9">
        <v>1565000</v>
      </c>
      <c r="G48" s="9">
        <v>1456000</v>
      </c>
      <c r="H48" s="9">
        <v>1626000</v>
      </c>
    </row>
    <row r="49" spans="1:16" ht="24.75" customHeight="1">
      <c r="A49" s="129" t="s">
        <v>671</v>
      </c>
      <c r="B49" s="197">
        <v>4347000</v>
      </c>
      <c r="C49" s="198">
        <v>5990000</v>
      </c>
      <c r="D49" s="198">
        <v>6704000</v>
      </c>
      <c r="E49" s="198">
        <v>7371000</v>
      </c>
      <c r="F49" s="198">
        <v>8126000</v>
      </c>
      <c r="G49" s="198">
        <v>8602000</v>
      </c>
      <c r="H49" s="198">
        <v>9311000</v>
      </c>
      <c r="I49" s="276">
        <f t="shared" si="1"/>
        <v>50451000</v>
      </c>
      <c r="J49" s="277">
        <f t="shared" si="3"/>
        <v>8.6162811440803955E-2</v>
      </c>
      <c r="K49" s="277">
        <f t="shared" si="4"/>
        <v>0.11872906384412599</v>
      </c>
      <c r="L49" s="277">
        <f t="shared" si="5"/>
        <v>0.13288140968464451</v>
      </c>
      <c r="M49" s="277">
        <f t="shared" si="6"/>
        <v>0.14610215853005887</v>
      </c>
      <c r="N49" s="277">
        <f t="shared" si="7"/>
        <v>0.1610671740897108</v>
      </c>
      <c r="O49" s="277">
        <f t="shared" si="8"/>
        <v>0.17050207131672315</v>
      </c>
      <c r="P49" s="277">
        <f t="shared" si="9"/>
        <v>0.18455531109393272</v>
      </c>
    </row>
    <row r="50" spans="1:16" ht="12.45" customHeight="1">
      <c r="A50" s="130" t="s">
        <v>174</v>
      </c>
      <c r="B50" s="105">
        <v>1032000</v>
      </c>
      <c r="C50" s="9">
        <v>1467000</v>
      </c>
      <c r="D50" s="9">
        <v>1528000</v>
      </c>
      <c r="E50" s="9">
        <v>1923000</v>
      </c>
      <c r="F50" s="9">
        <v>1998000</v>
      </c>
      <c r="G50" s="9">
        <v>2192000</v>
      </c>
      <c r="H50" s="9">
        <v>2261000</v>
      </c>
      <c r="I50" s="102">
        <f t="shared" si="1"/>
        <v>12401000</v>
      </c>
      <c r="J50" s="204">
        <f t="shared" si="3"/>
        <v>8.3219095234255303E-2</v>
      </c>
      <c r="K50" s="204">
        <f t="shared" si="4"/>
        <v>0.11829691153939198</v>
      </c>
      <c r="L50" s="204">
        <f t="shared" si="5"/>
        <v>0.12321586968792839</v>
      </c>
      <c r="M50" s="204">
        <f t="shared" si="6"/>
        <v>0.15506813966615596</v>
      </c>
      <c r="N50" s="204">
        <f t="shared" si="7"/>
        <v>0.16111603902911056</v>
      </c>
      <c r="O50" s="204">
        <f t="shared" si="8"/>
        <v>0.17675993871461979</v>
      </c>
      <c r="P50" s="204">
        <f t="shared" si="9"/>
        <v>0.18232400612853802</v>
      </c>
    </row>
    <row r="51" spans="1:16" ht="12.45" customHeight="1">
      <c r="A51" s="184" t="s">
        <v>227</v>
      </c>
      <c r="B51" s="105">
        <v>105000</v>
      </c>
      <c r="C51" s="9">
        <v>178000</v>
      </c>
      <c r="D51" s="9">
        <v>184000</v>
      </c>
      <c r="E51" s="9">
        <v>189000</v>
      </c>
      <c r="F51" s="9">
        <v>199000</v>
      </c>
      <c r="G51" s="9">
        <v>229000</v>
      </c>
      <c r="H51" s="9">
        <v>246000</v>
      </c>
      <c r="I51" s="102">
        <f t="shared" si="1"/>
        <v>1330000</v>
      </c>
      <c r="J51" s="204">
        <f t="shared" si="3"/>
        <v>7.8947368421052627E-2</v>
      </c>
      <c r="K51" s="204">
        <f t="shared" si="4"/>
        <v>0.13383458646616542</v>
      </c>
      <c r="L51" s="204">
        <f t="shared" si="5"/>
        <v>0.13834586466165413</v>
      </c>
      <c r="M51" s="204">
        <f t="shared" si="6"/>
        <v>0.14210526315789473</v>
      </c>
      <c r="N51" s="204">
        <f t="shared" si="7"/>
        <v>0.14962406015037594</v>
      </c>
      <c r="O51" s="204">
        <f t="shared" si="8"/>
        <v>0.17218045112781954</v>
      </c>
      <c r="P51" s="204">
        <f t="shared" si="9"/>
        <v>0.18496240601503761</v>
      </c>
    </row>
    <row r="52" spans="1:16" ht="12.45" customHeight="1">
      <c r="A52" s="131" t="s">
        <v>228</v>
      </c>
      <c r="B52" s="105">
        <v>490000</v>
      </c>
      <c r="C52" s="9">
        <v>731000</v>
      </c>
      <c r="D52" s="9">
        <v>804000</v>
      </c>
      <c r="E52" s="9">
        <v>1078000</v>
      </c>
      <c r="F52" s="9">
        <v>1135000</v>
      </c>
      <c r="G52" s="9">
        <v>1263000</v>
      </c>
      <c r="H52" s="9">
        <v>1325000</v>
      </c>
      <c r="I52" s="102">
        <f t="shared" si="1"/>
        <v>6826000</v>
      </c>
      <c r="J52" s="204">
        <f t="shared" si="3"/>
        <v>7.1784353940814533E-2</v>
      </c>
      <c r="K52" s="204">
        <f t="shared" si="4"/>
        <v>0.10709053618517433</v>
      </c>
      <c r="L52" s="204">
        <f t="shared" si="5"/>
        <v>0.11778493993554058</v>
      </c>
      <c r="M52" s="204">
        <f t="shared" si="6"/>
        <v>0.15792557866979198</v>
      </c>
      <c r="N52" s="204">
        <f t="shared" si="7"/>
        <v>0.16627600351596836</v>
      </c>
      <c r="O52" s="204">
        <f t="shared" si="8"/>
        <v>0.18502783474948725</v>
      </c>
      <c r="P52" s="204">
        <f t="shared" si="9"/>
        <v>0.19411075300322297</v>
      </c>
    </row>
    <row r="53" spans="1:16" ht="12.45" customHeight="1">
      <c r="A53" s="131" t="s">
        <v>229</v>
      </c>
      <c r="B53" s="105">
        <v>65000</v>
      </c>
      <c r="C53" s="9">
        <v>82000</v>
      </c>
      <c r="D53" s="9">
        <v>85000</v>
      </c>
      <c r="E53" s="9">
        <v>101000</v>
      </c>
      <c r="F53" s="9">
        <v>108000</v>
      </c>
      <c r="G53" s="9">
        <v>93000</v>
      </c>
      <c r="H53" s="9">
        <v>99000</v>
      </c>
      <c r="I53" s="102">
        <f t="shared" si="1"/>
        <v>633000</v>
      </c>
      <c r="J53" s="204">
        <f t="shared" si="3"/>
        <v>0.10268562401263823</v>
      </c>
      <c r="K53" s="204">
        <f t="shared" si="4"/>
        <v>0.12954186413902052</v>
      </c>
      <c r="L53" s="204">
        <f t="shared" si="5"/>
        <v>0.13428120063191154</v>
      </c>
      <c r="M53" s="204">
        <f t="shared" si="6"/>
        <v>0.15955766192733017</v>
      </c>
      <c r="N53" s="204">
        <f t="shared" si="7"/>
        <v>0.17061611374407584</v>
      </c>
      <c r="O53" s="204">
        <f t="shared" si="8"/>
        <v>0.14691943127962084</v>
      </c>
      <c r="P53" s="204">
        <f t="shared" si="9"/>
        <v>0.15639810426540285</v>
      </c>
    </row>
    <row r="54" spans="1:16">
      <c r="A54" s="131" t="s">
        <v>230</v>
      </c>
      <c r="B54" s="107">
        <v>61000</v>
      </c>
      <c r="C54" s="7">
        <v>80000</v>
      </c>
      <c r="D54" s="7">
        <v>97000</v>
      </c>
      <c r="E54" s="7">
        <v>117000</v>
      </c>
      <c r="F54" s="7">
        <v>102000</v>
      </c>
      <c r="G54" s="7">
        <v>112000</v>
      </c>
      <c r="H54" s="7">
        <v>129000</v>
      </c>
      <c r="I54" s="102">
        <f t="shared" si="1"/>
        <v>698000</v>
      </c>
      <c r="J54" s="204">
        <f t="shared" si="3"/>
        <v>8.7392550143266481E-2</v>
      </c>
      <c r="K54" s="204">
        <f t="shared" si="4"/>
        <v>0.11461318051575932</v>
      </c>
      <c r="L54" s="204">
        <f t="shared" si="5"/>
        <v>0.13896848137535817</v>
      </c>
      <c r="M54" s="204">
        <f t="shared" si="6"/>
        <v>0.16762177650429799</v>
      </c>
      <c r="N54" s="204">
        <f t="shared" si="7"/>
        <v>0.14613180515759314</v>
      </c>
      <c r="O54" s="204">
        <f t="shared" si="8"/>
        <v>0.16045845272206305</v>
      </c>
      <c r="P54" s="204">
        <f t="shared" si="9"/>
        <v>0.18481375358166188</v>
      </c>
    </row>
    <row r="55" spans="1:16">
      <c r="A55" s="131" t="s">
        <v>231</v>
      </c>
      <c r="B55" s="105">
        <v>312000</v>
      </c>
      <c r="C55" s="9">
        <v>395000</v>
      </c>
      <c r="D55" s="9">
        <v>358000</v>
      </c>
      <c r="E55" s="9">
        <v>438000</v>
      </c>
      <c r="F55" s="9">
        <v>454000</v>
      </c>
      <c r="G55" s="9">
        <v>495000</v>
      </c>
      <c r="H55" s="9">
        <v>462000</v>
      </c>
      <c r="I55" s="102">
        <f t="shared" si="1"/>
        <v>2914000</v>
      </c>
      <c r="J55" s="204">
        <f t="shared" si="3"/>
        <v>0.10706932052161977</v>
      </c>
      <c r="K55" s="204">
        <f t="shared" si="4"/>
        <v>0.13555250514756348</v>
      </c>
      <c r="L55" s="204">
        <f t="shared" si="5"/>
        <v>0.12285518188057652</v>
      </c>
      <c r="M55" s="204">
        <f t="shared" si="6"/>
        <v>0.15030885380919698</v>
      </c>
      <c r="N55" s="204">
        <f t="shared" si="7"/>
        <v>0.15579958819492107</v>
      </c>
      <c r="O55" s="204">
        <f t="shared" si="8"/>
        <v>0.16986959505833904</v>
      </c>
      <c r="P55" s="204">
        <f t="shared" si="9"/>
        <v>0.15854495538778313</v>
      </c>
    </row>
    <row r="56" spans="1:16">
      <c r="A56" s="130" t="s">
        <v>175</v>
      </c>
      <c r="B56" s="105">
        <v>842000</v>
      </c>
      <c r="C56" s="9">
        <v>1302000</v>
      </c>
      <c r="D56" s="9">
        <v>1467000</v>
      </c>
      <c r="E56" s="9">
        <v>1356000</v>
      </c>
      <c r="F56" s="9">
        <v>1630000</v>
      </c>
      <c r="G56" s="9">
        <v>1802000</v>
      </c>
      <c r="H56" s="9">
        <v>1930000</v>
      </c>
      <c r="I56" s="102">
        <f t="shared" si="1"/>
        <v>10329000</v>
      </c>
      <c r="J56" s="204">
        <f t="shared" si="3"/>
        <v>8.1518055958950522E-2</v>
      </c>
      <c r="K56" s="204">
        <f t="shared" si="4"/>
        <v>0.12605286087714201</v>
      </c>
      <c r="L56" s="204">
        <f t="shared" si="5"/>
        <v>0.14202730177171072</v>
      </c>
      <c r="M56" s="204">
        <f t="shared" si="6"/>
        <v>0.13128085971536452</v>
      </c>
      <c r="N56" s="204">
        <f t="shared" si="7"/>
        <v>0.15780811307967857</v>
      </c>
      <c r="O56" s="204">
        <f t="shared" si="8"/>
        <v>0.17446025752735017</v>
      </c>
      <c r="P56" s="204">
        <f t="shared" si="9"/>
        <v>0.18685255106980347</v>
      </c>
    </row>
    <row r="57" spans="1:16">
      <c r="A57" s="130" t="s">
        <v>176</v>
      </c>
      <c r="B57" s="105">
        <v>2472000</v>
      </c>
      <c r="C57" s="9">
        <v>3221000</v>
      </c>
      <c r="D57" s="9">
        <v>3709000</v>
      </c>
      <c r="E57" s="9">
        <v>4092000</v>
      </c>
      <c r="F57" s="9">
        <v>4499000</v>
      </c>
      <c r="G57" s="9">
        <v>4609000</v>
      </c>
      <c r="H57" s="9">
        <v>5120000</v>
      </c>
      <c r="I57" s="102">
        <f t="shared" si="1"/>
        <v>27722000</v>
      </c>
      <c r="J57" s="204">
        <f t="shared" si="3"/>
        <v>8.9171055479402642E-2</v>
      </c>
      <c r="K57" s="204">
        <f t="shared" si="4"/>
        <v>0.1161893081307265</v>
      </c>
      <c r="L57" s="204">
        <f t="shared" si="5"/>
        <v>0.13379265565255033</v>
      </c>
      <c r="M57" s="204">
        <f t="shared" si="6"/>
        <v>0.1476083976625063</v>
      </c>
      <c r="N57" s="204">
        <f t="shared" si="7"/>
        <v>0.16228987807517495</v>
      </c>
      <c r="O57" s="204">
        <f t="shared" si="8"/>
        <v>0.16625784575427457</v>
      </c>
      <c r="P57" s="204">
        <f t="shared" si="9"/>
        <v>0.18469085924536469</v>
      </c>
    </row>
    <row r="58" spans="1:16">
      <c r="A58" s="120" t="s">
        <v>672</v>
      </c>
      <c r="B58" s="124">
        <v>2418000</v>
      </c>
      <c r="C58" s="119">
        <v>3294000</v>
      </c>
      <c r="D58" s="119">
        <v>3807000</v>
      </c>
      <c r="E58" s="119">
        <v>4072000</v>
      </c>
      <c r="F58" s="119">
        <v>4464000</v>
      </c>
      <c r="G58" s="119">
        <v>4672000</v>
      </c>
      <c r="H58" s="119">
        <v>5036000</v>
      </c>
      <c r="I58" s="278">
        <f t="shared" si="1"/>
        <v>27763000</v>
      </c>
      <c r="J58" s="279">
        <f t="shared" si="3"/>
        <v>8.709433418578684E-2</v>
      </c>
      <c r="K58" s="279">
        <f t="shared" si="4"/>
        <v>0.11864712026798256</v>
      </c>
      <c r="L58" s="279">
        <f t="shared" si="5"/>
        <v>0.13712495047365197</v>
      </c>
      <c r="M58" s="279">
        <f t="shared" si="6"/>
        <v>0.14667002845513813</v>
      </c>
      <c r="N58" s="279">
        <f t="shared" si="7"/>
        <v>0.16078954003529877</v>
      </c>
      <c r="O58" s="279">
        <f t="shared" si="8"/>
        <v>0.16828152577171054</v>
      </c>
      <c r="P58" s="279">
        <f t="shared" si="9"/>
        <v>0.18139250081043115</v>
      </c>
    </row>
    <row r="59" spans="1:16">
      <c r="A59" s="121" t="s">
        <v>174</v>
      </c>
      <c r="B59" s="105">
        <v>408000</v>
      </c>
      <c r="C59" s="9">
        <v>609000</v>
      </c>
      <c r="D59" s="9">
        <v>621000</v>
      </c>
      <c r="E59" s="9">
        <v>745000</v>
      </c>
      <c r="F59" s="9">
        <v>829000</v>
      </c>
      <c r="G59" s="9">
        <v>878000</v>
      </c>
      <c r="H59" s="9">
        <v>887000</v>
      </c>
      <c r="I59" s="102">
        <f t="shared" si="1"/>
        <v>4977000</v>
      </c>
      <c r="J59" s="204">
        <f t="shared" si="3"/>
        <v>8.1977094635322489E-2</v>
      </c>
      <c r="K59" s="204">
        <f t="shared" si="4"/>
        <v>0.12236286919831224</v>
      </c>
      <c r="L59" s="204">
        <f t="shared" si="5"/>
        <v>0.12477396021699819</v>
      </c>
      <c r="M59" s="204">
        <f t="shared" si="6"/>
        <v>0.1496885674100864</v>
      </c>
      <c r="N59" s="204">
        <f t="shared" si="7"/>
        <v>0.16656620454088808</v>
      </c>
      <c r="O59" s="204">
        <f t="shared" si="8"/>
        <v>0.17641149286718907</v>
      </c>
      <c r="P59" s="204">
        <f t="shared" si="9"/>
        <v>0.17821981113120353</v>
      </c>
    </row>
    <row r="60" spans="1:16">
      <c r="A60" s="123" t="s">
        <v>227</v>
      </c>
      <c r="B60" s="105">
        <v>16000</v>
      </c>
      <c r="C60" s="9">
        <v>36000</v>
      </c>
      <c r="D60" s="9">
        <v>35000</v>
      </c>
      <c r="E60" s="9">
        <v>37000</v>
      </c>
      <c r="F60" s="9">
        <v>38000</v>
      </c>
      <c r="G60" s="9">
        <v>47000</v>
      </c>
      <c r="H60" s="9">
        <v>46000</v>
      </c>
      <c r="I60" s="102">
        <f t="shared" si="1"/>
        <v>255000</v>
      </c>
      <c r="J60" s="204">
        <f t="shared" si="3"/>
        <v>6.2745098039215685E-2</v>
      </c>
      <c r="K60" s="204">
        <f t="shared" si="4"/>
        <v>0.14117647058823529</v>
      </c>
      <c r="L60" s="204">
        <f t="shared" si="5"/>
        <v>0.13725490196078433</v>
      </c>
      <c r="M60" s="204">
        <f t="shared" si="6"/>
        <v>0.14509803921568629</v>
      </c>
      <c r="N60" s="204">
        <f t="shared" si="7"/>
        <v>0.14901960784313725</v>
      </c>
      <c r="O60" s="204">
        <f t="shared" si="8"/>
        <v>0.18431372549019609</v>
      </c>
      <c r="P60" s="204">
        <f t="shared" si="9"/>
        <v>0.1803921568627451</v>
      </c>
    </row>
    <row r="61" spans="1:16">
      <c r="A61" s="122" t="s">
        <v>228</v>
      </c>
      <c r="B61" s="105">
        <v>226000</v>
      </c>
      <c r="C61" s="9">
        <v>363000</v>
      </c>
      <c r="D61" s="9">
        <v>397000</v>
      </c>
      <c r="E61" s="9">
        <v>476000</v>
      </c>
      <c r="F61" s="9">
        <v>539000</v>
      </c>
      <c r="G61" s="9">
        <v>591000</v>
      </c>
      <c r="H61" s="9">
        <v>612000</v>
      </c>
      <c r="I61" s="102">
        <f t="shared" si="1"/>
        <v>3204000</v>
      </c>
      <c r="J61" s="204">
        <f t="shared" si="3"/>
        <v>7.0536828963795262E-2</v>
      </c>
      <c r="K61" s="204">
        <f t="shared" si="4"/>
        <v>0.11329588014981273</v>
      </c>
      <c r="L61" s="204">
        <f t="shared" si="5"/>
        <v>0.12390761548064919</v>
      </c>
      <c r="M61" s="204">
        <f t="shared" si="6"/>
        <v>0.14856429463171036</v>
      </c>
      <c r="N61" s="204">
        <f t="shared" si="7"/>
        <v>0.16822721598002496</v>
      </c>
      <c r="O61" s="204">
        <f t="shared" si="8"/>
        <v>0.18445692883895132</v>
      </c>
      <c r="P61" s="204">
        <f t="shared" si="9"/>
        <v>0.19101123595505617</v>
      </c>
    </row>
    <row r="62" spans="1:16">
      <c r="A62" s="122" t="s">
        <v>229</v>
      </c>
      <c r="B62" s="105">
        <v>17000</v>
      </c>
      <c r="C62" s="9">
        <v>16000</v>
      </c>
      <c r="D62" s="9">
        <v>19000</v>
      </c>
      <c r="E62" s="9">
        <v>22000</v>
      </c>
      <c r="F62" s="9">
        <v>45000</v>
      </c>
      <c r="G62" s="9">
        <v>22000</v>
      </c>
      <c r="H62" s="9">
        <v>20000</v>
      </c>
      <c r="I62" s="102">
        <f t="shared" si="1"/>
        <v>161000</v>
      </c>
      <c r="J62" s="204">
        <f t="shared" si="3"/>
        <v>0.10559006211180125</v>
      </c>
      <c r="K62" s="204">
        <f t="shared" si="4"/>
        <v>9.9378881987577633E-2</v>
      </c>
      <c r="L62" s="204">
        <f t="shared" si="5"/>
        <v>0.11801242236024845</v>
      </c>
      <c r="M62" s="204">
        <f t="shared" si="6"/>
        <v>0.13664596273291926</v>
      </c>
      <c r="N62" s="204">
        <f t="shared" si="7"/>
        <v>0.27950310559006208</v>
      </c>
      <c r="O62" s="204">
        <f t="shared" si="8"/>
        <v>0.13664596273291926</v>
      </c>
      <c r="P62" s="204">
        <f t="shared" si="9"/>
        <v>0.12422360248447205</v>
      </c>
    </row>
    <row r="63" spans="1:16">
      <c r="A63" s="122" t="s">
        <v>230</v>
      </c>
      <c r="B63" s="105">
        <v>10000</v>
      </c>
      <c r="C63" s="9">
        <v>18000</v>
      </c>
      <c r="D63" s="9">
        <v>15000</v>
      </c>
      <c r="E63" s="9">
        <v>13000</v>
      </c>
      <c r="F63" s="9">
        <v>22000</v>
      </c>
      <c r="G63" s="9">
        <v>19000</v>
      </c>
      <c r="H63" s="9">
        <v>22000</v>
      </c>
      <c r="I63" s="102">
        <f t="shared" si="1"/>
        <v>119000</v>
      </c>
      <c r="J63" s="204">
        <f t="shared" si="3"/>
        <v>8.4033613445378158E-2</v>
      </c>
      <c r="K63" s="204">
        <f t="shared" si="4"/>
        <v>0.15126050420168066</v>
      </c>
      <c r="L63" s="204">
        <f t="shared" si="5"/>
        <v>0.12605042016806722</v>
      </c>
      <c r="M63" s="204">
        <f t="shared" si="6"/>
        <v>0.1092436974789916</v>
      </c>
      <c r="N63" s="204">
        <f t="shared" si="7"/>
        <v>0.18487394957983194</v>
      </c>
      <c r="O63" s="204">
        <f t="shared" si="8"/>
        <v>0.15966386554621848</v>
      </c>
      <c r="P63" s="204">
        <f t="shared" si="9"/>
        <v>0.18487394957983194</v>
      </c>
    </row>
    <row r="64" spans="1:16">
      <c r="A64" s="122" t="s">
        <v>231</v>
      </c>
      <c r="B64" s="105">
        <v>139000</v>
      </c>
      <c r="C64" s="9">
        <v>175000</v>
      </c>
      <c r="D64" s="9">
        <v>154000</v>
      </c>
      <c r="E64" s="9">
        <v>197000</v>
      </c>
      <c r="F64" s="9">
        <v>184000</v>
      </c>
      <c r="G64" s="9">
        <v>199000</v>
      </c>
      <c r="H64" s="9">
        <v>187000</v>
      </c>
      <c r="I64" s="102">
        <f t="shared" si="1"/>
        <v>1235000</v>
      </c>
      <c r="J64" s="204">
        <f t="shared" si="3"/>
        <v>0.11255060728744939</v>
      </c>
      <c r="K64" s="204">
        <f t="shared" si="4"/>
        <v>0.1417004048582996</v>
      </c>
      <c r="L64" s="204">
        <f t="shared" si="5"/>
        <v>0.12469635627530365</v>
      </c>
      <c r="M64" s="204">
        <f t="shared" si="6"/>
        <v>0.15951417004048582</v>
      </c>
      <c r="N64" s="204">
        <f t="shared" si="7"/>
        <v>0.14898785425101216</v>
      </c>
      <c r="O64" s="204">
        <f t="shared" si="8"/>
        <v>0.16113360323886639</v>
      </c>
      <c r="P64" s="204">
        <f t="shared" si="9"/>
        <v>0.15141700404858299</v>
      </c>
    </row>
    <row r="65" spans="1:16">
      <c r="A65" s="121" t="s">
        <v>175</v>
      </c>
      <c r="B65" s="105">
        <v>422000</v>
      </c>
      <c r="C65" s="9">
        <v>671000</v>
      </c>
      <c r="D65" s="9">
        <v>764000</v>
      </c>
      <c r="E65" s="9">
        <v>656000</v>
      </c>
      <c r="F65" s="9">
        <v>768000</v>
      </c>
      <c r="G65" s="9">
        <v>895000</v>
      </c>
      <c r="H65" s="9">
        <v>981000</v>
      </c>
      <c r="I65" s="102">
        <f t="shared" si="1"/>
        <v>5157000</v>
      </c>
      <c r="J65" s="204">
        <f t="shared" si="3"/>
        <v>8.1830521621097538E-2</v>
      </c>
      <c r="K65" s="204">
        <f t="shared" si="4"/>
        <v>0.13011440760131859</v>
      </c>
      <c r="L65" s="204">
        <f t="shared" si="5"/>
        <v>0.14814814814814814</v>
      </c>
      <c r="M65" s="204">
        <f t="shared" si="6"/>
        <v>0.12720573977118479</v>
      </c>
      <c r="N65" s="204">
        <f t="shared" si="7"/>
        <v>0.14892379290285049</v>
      </c>
      <c r="O65" s="204">
        <f t="shared" si="8"/>
        <v>0.17355051386464998</v>
      </c>
      <c r="P65" s="204">
        <f t="shared" si="9"/>
        <v>0.19022687609075042</v>
      </c>
    </row>
    <row r="66" spans="1:16">
      <c r="A66" s="121" t="s">
        <v>176</v>
      </c>
      <c r="B66" s="105">
        <v>1588000</v>
      </c>
      <c r="C66" s="9">
        <v>2014000</v>
      </c>
      <c r="D66" s="9">
        <v>2422000</v>
      </c>
      <c r="E66" s="9">
        <v>2672000</v>
      </c>
      <c r="F66" s="9">
        <v>2867000</v>
      </c>
      <c r="G66" s="9">
        <v>2899000</v>
      </c>
      <c r="H66" s="9">
        <v>3168000</v>
      </c>
      <c r="I66" s="102">
        <f t="shared" si="1"/>
        <v>17630000</v>
      </c>
      <c r="J66" s="204">
        <f t="shared" si="3"/>
        <v>9.0073737946681789E-2</v>
      </c>
      <c r="K66" s="204">
        <f t="shared" si="4"/>
        <v>0.11423709585933069</v>
      </c>
      <c r="L66" s="204">
        <f t="shared" si="5"/>
        <v>0.13737946681792398</v>
      </c>
      <c r="M66" s="204">
        <f t="shared" si="6"/>
        <v>0.15155984117980714</v>
      </c>
      <c r="N66" s="204">
        <f t="shared" si="7"/>
        <v>0.162620533182076</v>
      </c>
      <c r="O66" s="204">
        <f t="shared" si="8"/>
        <v>0.16443562110039706</v>
      </c>
      <c r="P66" s="204">
        <f t="shared" si="9"/>
        <v>0.17969370391378334</v>
      </c>
    </row>
    <row r="67" spans="1:16">
      <c r="A67" s="115" t="s">
        <v>673</v>
      </c>
      <c r="B67" s="144">
        <v>1237000</v>
      </c>
      <c r="C67" s="143">
        <v>1826000</v>
      </c>
      <c r="D67" s="143">
        <v>1964000</v>
      </c>
      <c r="E67" s="143">
        <v>2291000</v>
      </c>
      <c r="F67" s="143">
        <v>2559000</v>
      </c>
      <c r="G67" s="143">
        <v>2706000</v>
      </c>
      <c r="H67" s="143">
        <v>2980000</v>
      </c>
      <c r="I67" s="280">
        <f t="shared" si="1"/>
        <v>15563000</v>
      </c>
      <c r="J67" s="281">
        <f t="shared" si="3"/>
        <v>7.9483390091884598E-2</v>
      </c>
      <c r="K67" s="281">
        <f t="shared" si="4"/>
        <v>0.11732956370879651</v>
      </c>
      <c r="L67" s="281">
        <f t="shared" si="5"/>
        <v>0.12619674869883699</v>
      </c>
      <c r="M67" s="281">
        <f t="shared" si="6"/>
        <v>0.14720812182741116</v>
      </c>
      <c r="N67" s="281">
        <f t="shared" si="7"/>
        <v>0.16442845209792456</v>
      </c>
      <c r="O67" s="281">
        <f t="shared" si="8"/>
        <v>0.17387393176122856</v>
      </c>
      <c r="P67" s="281">
        <f t="shared" si="9"/>
        <v>0.19147979181391764</v>
      </c>
    </row>
    <row r="68" spans="1:16">
      <c r="A68" s="116" t="s">
        <v>174</v>
      </c>
      <c r="B68" s="105">
        <v>399000</v>
      </c>
      <c r="C68" s="9">
        <v>562000</v>
      </c>
      <c r="D68" s="9">
        <v>580000</v>
      </c>
      <c r="E68" s="9">
        <v>842000</v>
      </c>
      <c r="F68" s="9">
        <v>811000</v>
      </c>
      <c r="G68" s="9">
        <v>873000</v>
      </c>
      <c r="H68" s="9">
        <v>926000</v>
      </c>
      <c r="I68" s="102">
        <f t="shared" si="1"/>
        <v>4993000</v>
      </c>
      <c r="J68" s="204">
        <f t="shared" si="3"/>
        <v>7.9911876627278194E-2</v>
      </c>
      <c r="K68" s="204">
        <f t="shared" si="4"/>
        <v>0.112557580612858</v>
      </c>
      <c r="L68" s="204">
        <f t="shared" si="5"/>
        <v>0.11616262767875025</v>
      </c>
      <c r="M68" s="204">
        <f t="shared" si="6"/>
        <v>0.16863609052673742</v>
      </c>
      <c r="N68" s="204">
        <f t="shared" si="7"/>
        <v>0.16242739835770079</v>
      </c>
      <c r="O68" s="204">
        <f t="shared" si="8"/>
        <v>0.17484478269577408</v>
      </c>
      <c r="P68" s="204">
        <f t="shared" si="9"/>
        <v>0.18545964350090127</v>
      </c>
    </row>
    <row r="69" spans="1:16">
      <c r="A69" s="118" t="s">
        <v>227</v>
      </c>
      <c r="B69" s="105">
        <v>16000</v>
      </c>
      <c r="C69" s="9">
        <v>43000</v>
      </c>
      <c r="D69" s="9">
        <v>42000</v>
      </c>
      <c r="E69" s="9">
        <v>46000</v>
      </c>
      <c r="F69" s="9">
        <v>46000</v>
      </c>
      <c r="G69" s="9">
        <v>46000</v>
      </c>
      <c r="H69" s="9">
        <v>52000</v>
      </c>
      <c r="I69" s="102">
        <f t="shared" ref="I69:I129" si="10">SUM(B69:H69)</f>
        <v>291000</v>
      </c>
      <c r="J69" s="204">
        <f t="shared" si="3"/>
        <v>5.4982817869415807E-2</v>
      </c>
      <c r="K69" s="204">
        <f t="shared" si="4"/>
        <v>0.14776632302405499</v>
      </c>
      <c r="L69" s="204">
        <f t="shared" si="5"/>
        <v>0.14432989690721648</v>
      </c>
      <c r="M69" s="204">
        <f t="shared" si="6"/>
        <v>0.15807560137457044</v>
      </c>
      <c r="N69" s="204">
        <f t="shared" si="7"/>
        <v>0.15807560137457044</v>
      </c>
      <c r="O69" s="204">
        <f t="shared" si="8"/>
        <v>0.15807560137457044</v>
      </c>
      <c r="P69" s="204">
        <f t="shared" si="9"/>
        <v>0.17869415807560138</v>
      </c>
    </row>
    <row r="70" spans="1:16">
      <c r="A70" s="117" t="s">
        <v>228</v>
      </c>
      <c r="B70" s="105">
        <v>217000</v>
      </c>
      <c r="C70" s="9">
        <v>310000</v>
      </c>
      <c r="D70" s="9">
        <v>343000</v>
      </c>
      <c r="E70" s="9">
        <v>533000</v>
      </c>
      <c r="F70" s="9">
        <v>505000</v>
      </c>
      <c r="G70" s="9">
        <v>553000</v>
      </c>
      <c r="H70" s="9">
        <v>599000</v>
      </c>
      <c r="I70" s="102">
        <f t="shared" si="10"/>
        <v>3060000</v>
      </c>
      <c r="J70" s="204">
        <f t="shared" ref="J70:J129" si="11">B70/$I70</f>
        <v>7.091503267973856E-2</v>
      </c>
      <c r="K70" s="204">
        <f t="shared" ref="K70:K129" si="12">C70/$I70</f>
        <v>0.10130718954248366</v>
      </c>
      <c r="L70" s="204">
        <f t="shared" ref="L70:L129" si="13">D70/$I70</f>
        <v>0.11209150326797386</v>
      </c>
      <c r="M70" s="204">
        <f t="shared" ref="M70:M129" si="14">E70/$I70</f>
        <v>0.1741830065359477</v>
      </c>
      <c r="N70" s="204">
        <f t="shared" ref="N70:N129" si="15">F70/$I70</f>
        <v>0.16503267973856209</v>
      </c>
      <c r="O70" s="204">
        <f t="shared" ref="O70:O129" si="16">G70/$I70</f>
        <v>0.18071895424836601</v>
      </c>
      <c r="P70" s="204">
        <f t="shared" ref="P70:P129" si="17">H70/$I70</f>
        <v>0.1957516339869281</v>
      </c>
    </row>
    <row r="71" spans="1:16">
      <c r="A71" s="117" t="s">
        <v>229</v>
      </c>
      <c r="B71" s="105">
        <v>16000</v>
      </c>
      <c r="C71" s="9">
        <v>20000</v>
      </c>
      <c r="D71" s="9">
        <v>21000</v>
      </c>
      <c r="E71" s="9">
        <v>24000</v>
      </c>
      <c r="F71" s="9">
        <v>23000</v>
      </c>
      <c r="G71" s="9">
        <v>20000</v>
      </c>
      <c r="H71" s="9">
        <v>27000</v>
      </c>
      <c r="I71" s="102">
        <f t="shared" si="10"/>
        <v>151000</v>
      </c>
      <c r="J71" s="204">
        <f t="shared" si="11"/>
        <v>0.10596026490066225</v>
      </c>
      <c r="K71" s="204">
        <f t="shared" si="12"/>
        <v>0.13245033112582782</v>
      </c>
      <c r="L71" s="204">
        <f t="shared" si="13"/>
        <v>0.13907284768211919</v>
      </c>
      <c r="M71" s="204">
        <f t="shared" si="14"/>
        <v>0.15894039735099338</v>
      </c>
      <c r="N71" s="204">
        <f t="shared" si="15"/>
        <v>0.15231788079470199</v>
      </c>
      <c r="O71" s="204">
        <f t="shared" si="16"/>
        <v>0.13245033112582782</v>
      </c>
      <c r="P71" s="204">
        <f t="shared" si="17"/>
        <v>0.17880794701986755</v>
      </c>
    </row>
    <row r="72" spans="1:16">
      <c r="A72" s="117" t="s">
        <v>230</v>
      </c>
      <c r="B72" s="105">
        <v>24000</v>
      </c>
      <c r="C72" s="9">
        <v>28000</v>
      </c>
      <c r="D72" s="9">
        <v>33000</v>
      </c>
      <c r="E72" s="9">
        <v>58000</v>
      </c>
      <c r="F72" s="9">
        <v>32000</v>
      </c>
      <c r="G72" s="9">
        <v>40000</v>
      </c>
      <c r="H72" s="9">
        <v>53000</v>
      </c>
      <c r="I72" s="102">
        <f t="shared" si="10"/>
        <v>268000</v>
      </c>
      <c r="J72" s="204">
        <f t="shared" si="11"/>
        <v>8.9552238805970144E-2</v>
      </c>
      <c r="K72" s="204">
        <f t="shared" si="12"/>
        <v>0.1044776119402985</v>
      </c>
      <c r="L72" s="204">
        <f t="shared" si="13"/>
        <v>0.12313432835820895</v>
      </c>
      <c r="M72" s="204">
        <f t="shared" si="14"/>
        <v>0.21641791044776118</v>
      </c>
      <c r="N72" s="204">
        <f t="shared" si="15"/>
        <v>0.11940298507462686</v>
      </c>
      <c r="O72" s="204">
        <f t="shared" si="16"/>
        <v>0.14925373134328357</v>
      </c>
      <c r="P72" s="204">
        <f t="shared" si="17"/>
        <v>0.19776119402985073</v>
      </c>
    </row>
    <row r="73" spans="1:16">
      <c r="A73" s="117" t="s">
        <v>231</v>
      </c>
      <c r="B73" s="105">
        <v>126000</v>
      </c>
      <c r="C73" s="9">
        <v>162000</v>
      </c>
      <c r="D73" s="9">
        <v>141000</v>
      </c>
      <c r="E73" s="9">
        <v>182000</v>
      </c>
      <c r="F73" s="9">
        <v>203000</v>
      </c>
      <c r="G73" s="9">
        <v>214000</v>
      </c>
      <c r="H73" s="9">
        <v>194000</v>
      </c>
      <c r="I73" s="102">
        <f t="shared" si="10"/>
        <v>1222000</v>
      </c>
      <c r="J73" s="204">
        <f t="shared" si="11"/>
        <v>0.10310965630114566</v>
      </c>
      <c r="K73" s="204">
        <f t="shared" si="12"/>
        <v>0.132569558101473</v>
      </c>
      <c r="L73" s="204">
        <f t="shared" si="13"/>
        <v>0.11538461538461539</v>
      </c>
      <c r="M73" s="204">
        <f t="shared" si="14"/>
        <v>0.14893617021276595</v>
      </c>
      <c r="N73" s="204">
        <f t="shared" si="15"/>
        <v>0.16612111292962356</v>
      </c>
      <c r="O73" s="204">
        <f t="shared" si="16"/>
        <v>0.17512274959083471</v>
      </c>
      <c r="P73" s="204">
        <f t="shared" si="17"/>
        <v>0.15875613747954173</v>
      </c>
    </row>
    <row r="74" spans="1:16">
      <c r="A74" s="116" t="s">
        <v>175</v>
      </c>
      <c r="B74" s="105">
        <v>157000</v>
      </c>
      <c r="C74" s="9">
        <v>273000</v>
      </c>
      <c r="D74" s="9">
        <v>340000</v>
      </c>
      <c r="E74" s="9">
        <v>336000</v>
      </c>
      <c r="F74" s="9">
        <v>443000</v>
      </c>
      <c r="G74" s="9">
        <v>453000</v>
      </c>
      <c r="H74" s="9">
        <v>497000</v>
      </c>
      <c r="I74" s="102">
        <f t="shared" si="10"/>
        <v>2499000</v>
      </c>
      <c r="J74" s="204">
        <f t="shared" si="11"/>
        <v>6.2825130052020811E-2</v>
      </c>
      <c r="K74" s="204">
        <f t="shared" si="12"/>
        <v>0.1092436974789916</v>
      </c>
      <c r="L74" s="204">
        <f t="shared" si="13"/>
        <v>0.1360544217687075</v>
      </c>
      <c r="M74" s="204">
        <f t="shared" si="14"/>
        <v>0.13445378151260504</v>
      </c>
      <c r="N74" s="204">
        <f t="shared" si="15"/>
        <v>0.17727090836334533</v>
      </c>
      <c r="O74" s="204">
        <f t="shared" si="16"/>
        <v>0.18127250900360145</v>
      </c>
      <c r="P74" s="204">
        <f t="shared" si="17"/>
        <v>0.19887955182072828</v>
      </c>
    </row>
    <row r="75" spans="1:16">
      <c r="A75" s="116" t="s">
        <v>176</v>
      </c>
      <c r="B75" s="105">
        <v>681000</v>
      </c>
      <c r="C75" s="9">
        <v>991000</v>
      </c>
      <c r="D75" s="9">
        <v>1044000</v>
      </c>
      <c r="E75" s="9">
        <v>1113000</v>
      </c>
      <c r="F75" s="9">
        <v>1306000</v>
      </c>
      <c r="G75" s="9">
        <v>1380000</v>
      </c>
      <c r="H75" s="9">
        <v>1557000</v>
      </c>
      <c r="I75" s="102">
        <f t="shared" si="10"/>
        <v>8072000</v>
      </c>
      <c r="J75" s="204">
        <f t="shared" si="11"/>
        <v>8.4365708622398408E-2</v>
      </c>
      <c r="K75" s="204">
        <f t="shared" si="12"/>
        <v>0.12277006937561942</v>
      </c>
      <c r="L75" s="204">
        <f t="shared" si="13"/>
        <v>0.12933597621407333</v>
      </c>
      <c r="M75" s="204">
        <f t="shared" si="14"/>
        <v>0.1378840436075322</v>
      </c>
      <c r="N75" s="204">
        <f t="shared" si="15"/>
        <v>0.16179385530227949</v>
      </c>
      <c r="O75" s="204">
        <f t="shared" si="16"/>
        <v>0.17096134786917741</v>
      </c>
      <c r="P75" s="204">
        <f t="shared" si="17"/>
        <v>0.19288899900891973</v>
      </c>
    </row>
    <row r="76" spans="1:16">
      <c r="A76" s="138" t="s">
        <v>674</v>
      </c>
      <c r="B76" s="136">
        <v>351000</v>
      </c>
      <c r="C76" s="137">
        <v>499000</v>
      </c>
      <c r="D76" s="137">
        <v>498000</v>
      </c>
      <c r="E76" s="137">
        <v>536000</v>
      </c>
      <c r="F76" s="137">
        <v>599000</v>
      </c>
      <c r="G76" s="137">
        <v>753000</v>
      </c>
      <c r="H76" s="137">
        <v>770000</v>
      </c>
      <c r="I76" s="282">
        <f t="shared" si="10"/>
        <v>4006000</v>
      </c>
      <c r="J76" s="283">
        <f t="shared" si="11"/>
        <v>8.7618572141787324E-2</v>
      </c>
      <c r="K76" s="283">
        <f t="shared" si="12"/>
        <v>0.12456315526709935</v>
      </c>
      <c r="L76" s="283">
        <f t="shared" si="13"/>
        <v>0.12431352970544184</v>
      </c>
      <c r="M76" s="283">
        <f t="shared" si="14"/>
        <v>0.13379930104842735</v>
      </c>
      <c r="N76" s="283">
        <f t="shared" si="15"/>
        <v>0.14952571143285073</v>
      </c>
      <c r="O76" s="283">
        <f t="shared" si="16"/>
        <v>0.18796804792810784</v>
      </c>
      <c r="P76" s="283">
        <f t="shared" si="17"/>
        <v>0.19221168247628556</v>
      </c>
    </row>
    <row r="77" spans="1:16">
      <c r="A77" s="139" t="s">
        <v>174</v>
      </c>
      <c r="B77" s="105">
        <v>213000</v>
      </c>
      <c r="C77" s="9">
        <v>279000</v>
      </c>
      <c r="D77" s="9">
        <v>300000</v>
      </c>
      <c r="E77" s="9">
        <v>318000</v>
      </c>
      <c r="F77" s="9">
        <v>339000</v>
      </c>
      <c r="G77" s="9">
        <v>420000</v>
      </c>
      <c r="H77" s="9">
        <v>427000</v>
      </c>
      <c r="I77" s="102">
        <f t="shared" si="10"/>
        <v>2296000</v>
      </c>
      <c r="J77" s="204">
        <f t="shared" si="11"/>
        <v>9.2770034843205576E-2</v>
      </c>
      <c r="K77" s="204">
        <f t="shared" si="12"/>
        <v>0.12151567944250871</v>
      </c>
      <c r="L77" s="204">
        <f t="shared" si="13"/>
        <v>0.13066202090592335</v>
      </c>
      <c r="M77" s="204">
        <f t="shared" si="14"/>
        <v>0.13850174216027875</v>
      </c>
      <c r="N77" s="204">
        <f t="shared" si="15"/>
        <v>0.14764808362369339</v>
      </c>
      <c r="O77" s="204">
        <f t="shared" si="16"/>
        <v>0.18292682926829268</v>
      </c>
      <c r="P77" s="204">
        <f t="shared" si="17"/>
        <v>0.18597560975609756</v>
      </c>
    </row>
    <row r="78" spans="1:16">
      <c r="A78" s="141" t="s">
        <v>227</v>
      </c>
      <c r="B78" s="105">
        <v>65000</v>
      </c>
      <c r="C78" s="9">
        <v>90000</v>
      </c>
      <c r="D78" s="9">
        <v>98000</v>
      </c>
      <c r="E78" s="9">
        <v>97000</v>
      </c>
      <c r="F78" s="9">
        <v>105000</v>
      </c>
      <c r="G78" s="9">
        <v>127000</v>
      </c>
      <c r="H78" s="9">
        <v>139000</v>
      </c>
      <c r="I78" s="102">
        <f t="shared" si="10"/>
        <v>721000</v>
      </c>
      <c r="J78" s="204">
        <f t="shared" si="11"/>
        <v>9.0152565880721222E-2</v>
      </c>
      <c r="K78" s="204">
        <f t="shared" si="12"/>
        <v>0.12482662968099861</v>
      </c>
      <c r="L78" s="204">
        <f t="shared" si="13"/>
        <v>0.13592233009708737</v>
      </c>
      <c r="M78" s="204">
        <f t="shared" si="14"/>
        <v>0.13453536754507628</v>
      </c>
      <c r="N78" s="204">
        <f t="shared" si="15"/>
        <v>0.14563106796116504</v>
      </c>
      <c r="O78" s="204">
        <f t="shared" si="16"/>
        <v>0.17614424410540916</v>
      </c>
      <c r="P78" s="204">
        <f t="shared" si="17"/>
        <v>0.1927877947295423</v>
      </c>
    </row>
    <row r="79" spans="1:16">
      <c r="A79" s="140" t="s">
        <v>228</v>
      </c>
      <c r="B79" s="105">
        <v>45000</v>
      </c>
      <c r="C79" s="9">
        <v>55000</v>
      </c>
      <c r="D79" s="9">
        <v>59000</v>
      </c>
      <c r="E79" s="9">
        <v>68000</v>
      </c>
      <c r="F79" s="9">
        <v>88000</v>
      </c>
      <c r="G79" s="9">
        <v>114000</v>
      </c>
      <c r="H79" s="9">
        <v>110000</v>
      </c>
      <c r="I79" s="102">
        <f t="shared" si="10"/>
        <v>539000</v>
      </c>
      <c r="J79" s="204">
        <f t="shared" si="11"/>
        <v>8.3487940630797772E-2</v>
      </c>
      <c r="K79" s="204">
        <f t="shared" si="12"/>
        <v>0.10204081632653061</v>
      </c>
      <c r="L79" s="204">
        <f t="shared" si="13"/>
        <v>0.10946196660482375</v>
      </c>
      <c r="M79" s="204">
        <f t="shared" si="14"/>
        <v>0.12615955473098331</v>
      </c>
      <c r="N79" s="204">
        <f t="shared" si="15"/>
        <v>0.16326530612244897</v>
      </c>
      <c r="O79" s="204">
        <f t="shared" si="16"/>
        <v>0.21150278293135436</v>
      </c>
      <c r="P79" s="204">
        <f t="shared" si="17"/>
        <v>0.20408163265306123</v>
      </c>
    </row>
    <row r="80" spans="1:16">
      <c r="A80" s="140" t="s">
        <v>229</v>
      </c>
      <c r="B80" s="105">
        <v>31000</v>
      </c>
      <c r="C80" s="9">
        <v>46000</v>
      </c>
      <c r="D80" s="9">
        <v>44000</v>
      </c>
      <c r="E80" s="9">
        <v>55000</v>
      </c>
      <c r="F80" s="9">
        <v>40000</v>
      </c>
      <c r="G80" s="9">
        <v>51000</v>
      </c>
      <c r="H80" s="9">
        <v>53000</v>
      </c>
      <c r="I80" s="102">
        <f t="shared" si="10"/>
        <v>320000</v>
      </c>
      <c r="J80" s="204">
        <f t="shared" si="11"/>
        <v>9.6875000000000003E-2</v>
      </c>
      <c r="K80" s="204">
        <f t="shared" si="12"/>
        <v>0.14374999999999999</v>
      </c>
      <c r="L80" s="204">
        <f t="shared" si="13"/>
        <v>0.13750000000000001</v>
      </c>
      <c r="M80" s="204">
        <f t="shared" si="14"/>
        <v>0.171875</v>
      </c>
      <c r="N80" s="204">
        <f t="shared" si="15"/>
        <v>0.125</v>
      </c>
      <c r="O80" s="204">
        <f t="shared" si="16"/>
        <v>0.15937499999999999</v>
      </c>
      <c r="P80" s="204">
        <f t="shared" si="17"/>
        <v>0.16562499999999999</v>
      </c>
    </row>
    <row r="81" spans="1:16">
      <c r="A81" s="140" t="s">
        <v>230</v>
      </c>
      <c r="B81" s="105">
        <v>25000</v>
      </c>
      <c r="C81" s="9">
        <v>32000</v>
      </c>
      <c r="D81" s="9">
        <v>37000</v>
      </c>
      <c r="E81" s="9">
        <v>39000</v>
      </c>
      <c r="F81" s="9">
        <v>41000</v>
      </c>
      <c r="G81" s="9">
        <v>48000</v>
      </c>
      <c r="H81" s="9">
        <v>46000</v>
      </c>
      <c r="I81" s="102">
        <f t="shared" si="10"/>
        <v>268000</v>
      </c>
      <c r="J81" s="204">
        <f t="shared" si="11"/>
        <v>9.3283582089552244E-2</v>
      </c>
      <c r="K81" s="204">
        <f t="shared" si="12"/>
        <v>0.11940298507462686</v>
      </c>
      <c r="L81" s="204">
        <f t="shared" si="13"/>
        <v>0.13805970149253732</v>
      </c>
      <c r="M81" s="204">
        <f t="shared" si="14"/>
        <v>0.1455223880597015</v>
      </c>
      <c r="N81" s="204">
        <f t="shared" si="15"/>
        <v>0.15298507462686567</v>
      </c>
      <c r="O81" s="204">
        <f t="shared" si="16"/>
        <v>0.17910447761194029</v>
      </c>
      <c r="P81" s="204">
        <f t="shared" si="17"/>
        <v>0.17164179104477612</v>
      </c>
    </row>
    <row r="82" spans="1:16">
      <c r="A82" s="140" t="s">
        <v>231</v>
      </c>
      <c r="B82" s="105">
        <v>47000</v>
      </c>
      <c r="C82" s="9">
        <v>57000</v>
      </c>
      <c r="D82" s="9">
        <v>62000</v>
      </c>
      <c r="E82" s="9">
        <v>58000</v>
      </c>
      <c r="F82" s="9">
        <v>65000</v>
      </c>
      <c r="G82" s="9">
        <v>79000</v>
      </c>
      <c r="H82" s="9">
        <v>80000</v>
      </c>
      <c r="I82" s="102">
        <f t="shared" si="10"/>
        <v>448000</v>
      </c>
      <c r="J82" s="204">
        <f t="shared" si="11"/>
        <v>0.10491071428571429</v>
      </c>
      <c r="K82" s="204">
        <f t="shared" si="12"/>
        <v>0.12723214285714285</v>
      </c>
      <c r="L82" s="204">
        <f t="shared" si="13"/>
        <v>0.13839285714285715</v>
      </c>
      <c r="M82" s="204">
        <f t="shared" si="14"/>
        <v>0.12946428571428573</v>
      </c>
      <c r="N82" s="204">
        <f t="shared" si="15"/>
        <v>0.14508928571428573</v>
      </c>
      <c r="O82" s="204">
        <f t="shared" si="16"/>
        <v>0.17633928571428573</v>
      </c>
      <c r="P82" s="204">
        <f t="shared" si="17"/>
        <v>0.17857142857142858</v>
      </c>
    </row>
    <row r="83" spans="1:16">
      <c r="A83" s="139" t="s">
        <v>175</v>
      </c>
      <c r="B83" s="105">
        <v>34000</v>
      </c>
      <c r="C83" s="9">
        <v>86000</v>
      </c>
      <c r="D83" s="9">
        <v>79000</v>
      </c>
      <c r="E83" s="9">
        <v>87000</v>
      </c>
      <c r="F83" s="9">
        <v>103000</v>
      </c>
      <c r="G83" s="9">
        <v>155000</v>
      </c>
      <c r="H83" s="9">
        <v>127000</v>
      </c>
      <c r="I83" s="102">
        <f t="shared" si="10"/>
        <v>671000</v>
      </c>
      <c r="J83" s="204">
        <f t="shared" si="11"/>
        <v>5.0670640834575259E-2</v>
      </c>
      <c r="K83" s="204">
        <f t="shared" si="12"/>
        <v>0.12816691505216096</v>
      </c>
      <c r="L83" s="204">
        <f t="shared" si="13"/>
        <v>0.11773472429210134</v>
      </c>
      <c r="M83" s="204">
        <f t="shared" si="14"/>
        <v>0.12965722801788376</v>
      </c>
      <c r="N83" s="204">
        <f t="shared" si="15"/>
        <v>0.15350223546944858</v>
      </c>
      <c r="O83" s="204">
        <f t="shared" si="16"/>
        <v>0.23099850968703428</v>
      </c>
      <c r="P83" s="204">
        <f t="shared" si="17"/>
        <v>0.18926974664679583</v>
      </c>
    </row>
    <row r="84" spans="1:16">
      <c r="A84" s="139" t="s">
        <v>176</v>
      </c>
      <c r="B84" s="105">
        <v>104000</v>
      </c>
      <c r="C84" s="9">
        <v>133000</v>
      </c>
      <c r="D84" s="9">
        <v>119000</v>
      </c>
      <c r="E84" s="9">
        <v>131000</v>
      </c>
      <c r="F84" s="9">
        <v>157000</v>
      </c>
      <c r="G84" s="9">
        <v>178000</v>
      </c>
      <c r="H84" s="9">
        <v>217000</v>
      </c>
      <c r="I84" s="102">
        <f t="shared" si="10"/>
        <v>1039000</v>
      </c>
      <c r="J84" s="204">
        <f t="shared" si="11"/>
        <v>0.10009624639076034</v>
      </c>
      <c r="K84" s="204">
        <f t="shared" si="12"/>
        <v>0.12800769971126083</v>
      </c>
      <c r="L84" s="204">
        <f t="shared" si="13"/>
        <v>0.11453320500481232</v>
      </c>
      <c r="M84" s="204">
        <f t="shared" si="14"/>
        <v>0.12608277189605391</v>
      </c>
      <c r="N84" s="204">
        <f t="shared" si="15"/>
        <v>0.15110683349374399</v>
      </c>
      <c r="O84" s="204">
        <f t="shared" si="16"/>
        <v>0.17131857555341676</v>
      </c>
      <c r="P84" s="204">
        <f t="shared" si="17"/>
        <v>0.20885466794995189</v>
      </c>
    </row>
    <row r="85" spans="1:16">
      <c r="A85" s="112" t="s">
        <v>680</v>
      </c>
      <c r="B85" s="109">
        <v>340000</v>
      </c>
      <c r="C85" s="104">
        <v>371000</v>
      </c>
      <c r="D85" s="104">
        <v>435000</v>
      </c>
      <c r="E85" s="104">
        <v>472000</v>
      </c>
      <c r="F85" s="104">
        <v>504000</v>
      </c>
      <c r="G85" s="104">
        <v>471000</v>
      </c>
      <c r="H85" s="104">
        <v>525000</v>
      </c>
    </row>
    <row r="86" spans="1:16">
      <c r="A86" s="163" t="s">
        <v>174</v>
      </c>
      <c r="B86" s="105">
        <v>12000</v>
      </c>
      <c r="C86" s="9">
        <v>17000</v>
      </c>
      <c r="D86" s="9">
        <v>27000</v>
      </c>
      <c r="E86" s="9">
        <v>18000</v>
      </c>
      <c r="F86" s="9">
        <v>19000</v>
      </c>
      <c r="G86" s="9">
        <v>21000</v>
      </c>
      <c r="H86" s="9">
        <v>21000</v>
      </c>
    </row>
    <row r="87" spans="1:16">
      <c r="A87" s="201" t="s">
        <v>227</v>
      </c>
      <c r="B87" s="105">
        <v>7000</v>
      </c>
      <c r="C87" s="9">
        <v>10000</v>
      </c>
      <c r="D87" s="9">
        <v>10000</v>
      </c>
      <c r="E87" s="9">
        <v>9000</v>
      </c>
      <c r="F87" s="9">
        <v>9000</v>
      </c>
      <c r="G87" s="9">
        <v>8000</v>
      </c>
      <c r="H87" s="9">
        <v>9000</v>
      </c>
    </row>
    <row r="88" spans="1:16">
      <c r="A88" s="202" t="s">
        <v>228</v>
      </c>
      <c r="B88" s="105">
        <v>2000</v>
      </c>
      <c r="C88" s="13" t="s">
        <v>191</v>
      </c>
      <c r="D88" s="9">
        <v>4000</v>
      </c>
      <c r="E88" s="9">
        <v>2000</v>
      </c>
      <c r="F88" s="13" t="s">
        <v>191</v>
      </c>
      <c r="G88" s="9">
        <v>5000</v>
      </c>
      <c r="H88" s="13" t="s">
        <v>191</v>
      </c>
    </row>
    <row r="89" spans="1:16">
      <c r="A89" s="202" t="s">
        <v>229</v>
      </c>
      <c r="B89" s="162" t="s">
        <v>220</v>
      </c>
      <c r="C89" s="13" t="s">
        <v>220</v>
      </c>
      <c r="D89" s="13" t="s">
        <v>220</v>
      </c>
      <c r="E89" s="13" t="s">
        <v>220</v>
      </c>
      <c r="F89" s="13" t="s">
        <v>220</v>
      </c>
      <c r="G89" s="13" t="s">
        <v>220</v>
      </c>
      <c r="H89" s="13" t="s">
        <v>220</v>
      </c>
    </row>
    <row r="90" spans="1:16">
      <c r="A90" s="202" t="s">
        <v>230</v>
      </c>
      <c r="B90" s="105">
        <v>2000</v>
      </c>
      <c r="C90" s="9">
        <v>3000</v>
      </c>
      <c r="D90" s="9">
        <v>11000</v>
      </c>
      <c r="E90" s="9">
        <v>6000</v>
      </c>
      <c r="F90" s="9">
        <v>7000</v>
      </c>
      <c r="G90" s="9">
        <v>5000</v>
      </c>
      <c r="H90" s="9">
        <v>8000</v>
      </c>
    </row>
    <row r="91" spans="1:16">
      <c r="A91" s="202" t="s">
        <v>231</v>
      </c>
      <c r="B91" s="162" t="s">
        <v>220</v>
      </c>
      <c r="C91" s="13" t="s">
        <v>220</v>
      </c>
      <c r="D91" s="13" t="s">
        <v>220</v>
      </c>
      <c r="E91" s="13" t="s">
        <v>220</v>
      </c>
      <c r="F91" s="13" t="s">
        <v>220</v>
      </c>
      <c r="G91" s="13" t="s">
        <v>220</v>
      </c>
      <c r="H91" s="13" t="s">
        <v>220</v>
      </c>
    </row>
    <row r="92" spans="1:16">
      <c r="A92" s="163" t="s">
        <v>175</v>
      </c>
      <c r="B92" s="105">
        <v>230000</v>
      </c>
      <c r="C92" s="9">
        <v>271000</v>
      </c>
      <c r="D92" s="9">
        <v>283000</v>
      </c>
      <c r="E92" s="9">
        <v>277000</v>
      </c>
      <c r="F92" s="9">
        <v>316000</v>
      </c>
      <c r="G92" s="9">
        <v>298000</v>
      </c>
      <c r="H92" s="9">
        <v>325000</v>
      </c>
    </row>
    <row r="93" spans="1:16">
      <c r="A93" s="163" t="s">
        <v>176</v>
      </c>
      <c r="B93" s="105">
        <v>99000</v>
      </c>
      <c r="C93" s="9">
        <v>83000</v>
      </c>
      <c r="D93" s="9">
        <v>124000</v>
      </c>
      <c r="E93" s="9">
        <v>177000</v>
      </c>
      <c r="F93" s="9">
        <v>169000</v>
      </c>
      <c r="G93" s="9">
        <v>152000</v>
      </c>
      <c r="H93" s="9">
        <v>179000</v>
      </c>
    </row>
    <row r="94" spans="1:16">
      <c r="A94" s="129" t="s">
        <v>675</v>
      </c>
      <c r="B94" s="197">
        <v>28228000</v>
      </c>
      <c r="C94" s="198">
        <v>34633000</v>
      </c>
      <c r="D94" s="198">
        <v>37136000</v>
      </c>
      <c r="E94" s="198">
        <v>38570000</v>
      </c>
      <c r="F94" s="198">
        <v>40097000</v>
      </c>
      <c r="G94" s="198">
        <v>41922000</v>
      </c>
      <c r="H94" s="198">
        <v>42453000</v>
      </c>
      <c r="I94" s="276">
        <f t="shared" si="10"/>
        <v>263039000</v>
      </c>
      <c r="J94" s="277">
        <f t="shared" si="11"/>
        <v>0.107314884864982</v>
      </c>
      <c r="K94" s="277">
        <f t="shared" si="12"/>
        <v>0.13166488619558317</v>
      </c>
      <c r="L94" s="277">
        <f t="shared" si="13"/>
        <v>0.14118058538847852</v>
      </c>
      <c r="M94" s="277">
        <f t="shared" si="14"/>
        <v>0.14663224844984965</v>
      </c>
      <c r="N94" s="277">
        <f t="shared" si="15"/>
        <v>0.15243747124951054</v>
      </c>
      <c r="O94" s="277">
        <f t="shared" si="16"/>
        <v>0.15937560589874505</v>
      </c>
      <c r="P94" s="277">
        <f t="shared" si="17"/>
        <v>0.16139431795285109</v>
      </c>
    </row>
    <row r="95" spans="1:16">
      <c r="A95" s="130" t="s">
        <v>174</v>
      </c>
      <c r="B95" s="105">
        <v>3556000</v>
      </c>
      <c r="C95" s="9">
        <v>3907000</v>
      </c>
      <c r="D95" s="9">
        <v>4238000</v>
      </c>
      <c r="E95" s="9">
        <v>4484000</v>
      </c>
      <c r="F95" s="9">
        <v>4771000</v>
      </c>
      <c r="G95" s="9">
        <v>5275000</v>
      </c>
      <c r="H95" s="9">
        <v>5633000</v>
      </c>
      <c r="I95" s="102">
        <f t="shared" si="10"/>
        <v>31864000</v>
      </c>
      <c r="J95" s="204">
        <f t="shared" si="11"/>
        <v>0.11159929701230228</v>
      </c>
      <c r="K95" s="204">
        <f t="shared" si="12"/>
        <v>0.12261486316846598</v>
      </c>
      <c r="L95" s="204">
        <f t="shared" si="13"/>
        <v>0.13300276173738387</v>
      </c>
      <c r="M95" s="204">
        <f t="shared" si="14"/>
        <v>0.14072307306050716</v>
      </c>
      <c r="N95" s="204">
        <f t="shared" si="15"/>
        <v>0.14973010293748432</v>
      </c>
      <c r="O95" s="204">
        <f t="shared" si="16"/>
        <v>0.16554732613607834</v>
      </c>
      <c r="P95" s="204">
        <f t="shared" si="17"/>
        <v>0.17678257594777805</v>
      </c>
    </row>
    <row r="96" spans="1:16">
      <c r="A96" s="131" t="s">
        <v>227</v>
      </c>
      <c r="B96" s="105">
        <v>316000</v>
      </c>
      <c r="C96" s="9">
        <v>423000</v>
      </c>
      <c r="D96" s="9">
        <v>454000</v>
      </c>
      <c r="E96" s="9">
        <v>442000</v>
      </c>
      <c r="F96" s="9">
        <v>412000</v>
      </c>
      <c r="G96" s="9">
        <v>469000</v>
      </c>
      <c r="H96" s="9">
        <v>548000</v>
      </c>
      <c r="I96" s="102">
        <f t="shared" si="10"/>
        <v>3064000</v>
      </c>
      <c r="J96" s="204">
        <f t="shared" si="11"/>
        <v>0.10313315926892951</v>
      </c>
      <c r="K96" s="204">
        <f t="shared" si="12"/>
        <v>0.13805483028720628</v>
      </c>
      <c r="L96" s="204">
        <f t="shared" si="13"/>
        <v>0.14817232375979111</v>
      </c>
      <c r="M96" s="204">
        <f t="shared" si="14"/>
        <v>0.14425587467362924</v>
      </c>
      <c r="N96" s="204">
        <f t="shared" si="15"/>
        <v>0.13446475195822455</v>
      </c>
      <c r="O96" s="204">
        <f t="shared" si="16"/>
        <v>0.15306788511749347</v>
      </c>
      <c r="P96" s="204">
        <f t="shared" si="17"/>
        <v>0.17885117493472585</v>
      </c>
    </row>
    <row r="97" spans="1:16">
      <c r="A97" s="131" t="s">
        <v>228</v>
      </c>
      <c r="B97" s="105">
        <v>1440000</v>
      </c>
      <c r="C97" s="9">
        <v>1665000</v>
      </c>
      <c r="D97" s="9">
        <v>1849000</v>
      </c>
      <c r="E97" s="9">
        <v>2078000</v>
      </c>
      <c r="F97" s="9">
        <v>2284000</v>
      </c>
      <c r="G97" s="9">
        <v>2512000</v>
      </c>
      <c r="H97" s="9">
        <v>2707000</v>
      </c>
      <c r="I97" s="102">
        <f t="shared" si="10"/>
        <v>14535000</v>
      </c>
      <c r="J97" s="204">
        <f t="shared" si="11"/>
        <v>9.9071207430340563E-2</v>
      </c>
      <c r="K97" s="204">
        <f t="shared" si="12"/>
        <v>0.11455108359133127</v>
      </c>
      <c r="L97" s="204">
        <f t="shared" si="13"/>
        <v>0.12721018231854145</v>
      </c>
      <c r="M97" s="204">
        <f t="shared" si="14"/>
        <v>0.14296525627794979</v>
      </c>
      <c r="N97" s="204">
        <f t="shared" si="15"/>
        <v>0.15713794289645683</v>
      </c>
      <c r="O97" s="204">
        <f t="shared" si="16"/>
        <v>0.17282421740626075</v>
      </c>
      <c r="P97" s="204">
        <f t="shared" si="17"/>
        <v>0.18624011007911936</v>
      </c>
    </row>
    <row r="98" spans="1:16">
      <c r="A98" s="131" t="s">
        <v>229</v>
      </c>
      <c r="B98" s="105">
        <v>233000</v>
      </c>
      <c r="C98" s="9">
        <v>245000</v>
      </c>
      <c r="D98" s="9">
        <v>239000</v>
      </c>
      <c r="E98" s="9">
        <v>230000</v>
      </c>
      <c r="F98" s="9">
        <v>258000</v>
      </c>
      <c r="G98" s="9">
        <v>316000</v>
      </c>
      <c r="H98" s="9">
        <v>309000</v>
      </c>
      <c r="I98" s="102">
        <f t="shared" si="10"/>
        <v>1830000</v>
      </c>
      <c r="J98" s="204">
        <f t="shared" si="11"/>
        <v>0.12732240437158471</v>
      </c>
      <c r="K98" s="204">
        <f t="shared" si="12"/>
        <v>0.13387978142076504</v>
      </c>
      <c r="L98" s="204">
        <f t="shared" si="13"/>
        <v>0.13060109289617486</v>
      </c>
      <c r="M98" s="204">
        <f t="shared" si="14"/>
        <v>0.12568306010928962</v>
      </c>
      <c r="N98" s="204">
        <f t="shared" si="15"/>
        <v>0.14098360655737704</v>
      </c>
      <c r="O98" s="204">
        <f t="shared" si="16"/>
        <v>0.17267759562841531</v>
      </c>
      <c r="P98" s="204">
        <f t="shared" si="17"/>
        <v>0.16885245901639345</v>
      </c>
    </row>
    <row r="99" spans="1:16">
      <c r="A99" s="131" t="s">
        <v>230</v>
      </c>
      <c r="B99" s="105">
        <v>416000</v>
      </c>
      <c r="C99" s="9">
        <v>438000</v>
      </c>
      <c r="D99" s="9">
        <v>499000</v>
      </c>
      <c r="E99" s="9">
        <v>453000</v>
      </c>
      <c r="F99" s="9">
        <v>544000</v>
      </c>
      <c r="G99" s="9">
        <v>551000</v>
      </c>
      <c r="H99" s="9">
        <v>583000</v>
      </c>
      <c r="I99" s="102">
        <f t="shared" si="10"/>
        <v>3484000</v>
      </c>
      <c r="J99" s="204">
        <f t="shared" si="11"/>
        <v>0.11940298507462686</v>
      </c>
      <c r="K99" s="204">
        <f t="shared" si="12"/>
        <v>0.12571756601607348</v>
      </c>
      <c r="L99" s="204">
        <f t="shared" si="13"/>
        <v>0.14322617680826635</v>
      </c>
      <c r="M99" s="204">
        <f t="shared" si="14"/>
        <v>0.13002296211251435</v>
      </c>
      <c r="N99" s="204">
        <f t="shared" si="15"/>
        <v>0.15614236509758897</v>
      </c>
      <c r="O99" s="204">
        <f t="shared" si="16"/>
        <v>0.15815154994259473</v>
      </c>
      <c r="P99" s="204">
        <f t="shared" si="17"/>
        <v>0.16733639494833524</v>
      </c>
    </row>
    <row r="100" spans="1:16">
      <c r="A100" s="131" t="s">
        <v>231</v>
      </c>
      <c r="B100" s="105">
        <v>1150000</v>
      </c>
      <c r="C100" s="9">
        <v>1136000</v>
      </c>
      <c r="D100" s="9">
        <v>1196000</v>
      </c>
      <c r="E100" s="9">
        <v>1281000</v>
      </c>
      <c r="F100" s="9">
        <v>1274000</v>
      </c>
      <c r="G100" s="9">
        <v>1427000</v>
      </c>
      <c r="H100" s="9">
        <v>1487000</v>
      </c>
      <c r="I100" s="102">
        <f t="shared" si="10"/>
        <v>8951000</v>
      </c>
      <c r="J100" s="204">
        <f t="shared" si="11"/>
        <v>0.12847726511004356</v>
      </c>
      <c r="K100" s="204">
        <f t="shared" si="12"/>
        <v>0.12691319405653001</v>
      </c>
      <c r="L100" s="204">
        <f t="shared" si="13"/>
        <v>0.1336163557144453</v>
      </c>
      <c r="M100" s="204">
        <f t="shared" si="14"/>
        <v>0.14311250139649201</v>
      </c>
      <c r="N100" s="204">
        <f t="shared" si="15"/>
        <v>0.14233046586973522</v>
      </c>
      <c r="O100" s="204">
        <f t="shared" si="16"/>
        <v>0.15942352809741928</v>
      </c>
      <c r="P100" s="204">
        <f t="shared" si="17"/>
        <v>0.16612668975533459</v>
      </c>
    </row>
    <row r="101" spans="1:16">
      <c r="A101" s="130" t="s">
        <v>175</v>
      </c>
      <c r="B101" s="105">
        <v>4313000</v>
      </c>
      <c r="C101" s="9">
        <v>5665000</v>
      </c>
      <c r="D101" s="9">
        <v>6041000</v>
      </c>
      <c r="E101" s="9">
        <v>6511000</v>
      </c>
      <c r="F101" s="9">
        <v>6642000</v>
      </c>
      <c r="G101" s="9">
        <v>7092000</v>
      </c>
      <c r="H101" s="9">
        <v>7592000</v>
      </c>
      <c r="I101" s="102">
        <f t="shared" si="10"/>
        <v>43856000</v>
      </c>
      <c r="J101" s="204">
        <f t="shared" si="11"/>
        <v>9.8344582269244807E-2</v>
      </c>
      <c r="K101" s="204">
        <f t="shared" si="12"/>
        <v>0.12917274717256474</v>
      </c>
      <c r="L101" s="204">
        <f t="shared" si="13"/>
        <v>0.13774626048887267</v>
      </c>
      <c r="M101" s="204">
        <f t="shared" si="14"/>
        <v>0.14846315213425756</v>
      </c>
      <c r="N101" s="204">
        <f t="shared" si="15"/>
        <v>0.15145020065669465</v>
      </c>
      <c r="O101" s="204">
        <f t="shared" si="16"/>
        <v>0.16171105435972272</v>
      </c>
      <c r="P101" s="204">
        <f t="shared" si="17"/>
        <v>0.17311200291864284</v>
      </c>
    </row>
    <row r="102" spans="1:16">
      <c r="A102" s="130" t="s">
        <v>176</v>
      </c>
      <c r="B102" s="105">
        <v>20358000</v>
      </c>
      <c r="C102" s="9">
        <v>25061000</v>
      </c>
      <c r="D102" s="9">
        <v>26857000</v>
      </c>
      <c r="E102" s="9">
        <v>27574000</v>
      </c>
      <c r="F102" s="9">
        <v>28684000</v>
      </c>
      <c r="G102" s="9">
        <v>29556000</v>
      </c>
      <c r="H102" s="9">
        <v>29228000</v>
      </c>
      <c r="I102" s="102">
        <f t="shared" si="10"/>
        <v>187318000</v>
      </c>
      <c r="J102" s="204">
        <f t="shared" si="11"/>
        <v>0.10868149350302694</v>
      </c>
      <c r="K102" s="204">
        <f t="shared" si="12"/>
        <v>0.13378853073383232</v>
      </c>
      <c r="L102" s="204">
        <f t="shared" si="13"/>
        <v>0.1433765041266723</v>
      </c>
      <c r="M102" s="204">
        <f t="shared" si="14"/>
        <v>0.1472042195624553</v>
      </c>
      <c r="N102" s="204">
        <f t="shared" si="15"/>
        <v>0.15312997149232854</v>
      </c>
      <c r="O102" s="204">
        <f t="shared" si="16"/>
        <v>0.15778515679219296</v>
      </c>
      <c r="P102" s="204">
        <f t="shared" si="17"/>
        <v>0.15603412378949166</v>
      </c>
    </row>
    <row r="103" spans="1:16">
      <c r="A103" s="120" t="s">
        <v>676</v>
      </c>
      <c r="B103" s="124">
        <v>17947000</v>
      </c>
      <c r="C103" s="119">
        <v>22060000</v>
      </c>
      <c r="D103" s="119">
        <v>23995000</v>
      </c>
      <c r="E103" s="119">
        <v>24437000</v>
      </c>
      <c r="F103" s="119">
        <v>25667000</v>
      </c>
      <c r="G103" s="119">
        <v>26701000</v>
      </c>
      <c r="H103" s="119">
        <v>26652000</v>
      </c>
      <c r="I103" s="278">
        <f t="shared" si="10"/>
        <v>167459000</v>
      </c>
      <c r="J103" s="279">
        <f t="shared" si="11"/>
        <v>0.10717250192584453</v>
      </c>
      <c r="K103" s="279">
        <f t="shared" si="12"/>
        <v>0.13173373781044911</v>
      </c>
      <c r="L103" s="279">
        <f t="shared" si="13"/>
        <v>0.1432888050209305</v>
      </c>
      <c r="M103" s="279">
        <f t="shared" si="14"/>
        <v>0.14592825706590867</v>
      </c>
      <c r="N103" s="279">
        <f t="shared" si="15"/>
        <v>0.15327333854854025</v>
      </c>
      <c r="O103" s="279">
        <f t="shared" si="16"/>
        <v>0.15944798428271995</v>
      </c>
      <c r="P103" s="279">
        <f t="shared" si="17"/>
        <v>0.15915537534560698</v>
      </c>
    </row>
    <row r="104" spans="1:16">
      <c r="A104" s="121" t="s">
        <v>174</v>
      </c>
      <c r="B104" s="107">
        <v>2121000</v>
      </c>
      <c r="C104" s="7">
        <v>2372000</v>
      </c>
      <c r="D104" s="7">
        <v>2667000</v>
      </c>
      <c r="E104" s="7">
        <v>2773000</v>
      </c>
      <c r="F104" s="7">
        <v>3018000</v>
      </c>
      <c r="G104" s="7">
        <v>3298000</v>
      </c>
      <c r="H104" s="7">
        <v>3551000</v>
      </c>
      <c r="I104" s="102">
        <f t="shared" si="10"/>
        <v>19800000</v>
      </c>
      <c r="J104" s="204">
        <f t="shared" si="11"/>
        <v>0.10712121212121212</v>
      </c>
      <c r="K104" s="204">
        <f t="shared" si="12"/>
        <v>0.11979797979797979</v>
      </c>
      <c r="L104" s="204">
        <f t="shared" si="13"/>
        <v>0.1346969696969697</v>
      </c>
      <c r="M104" s="204">
        <f t="shared" si="14"/>
        <v>0.14005050505050506</v>
      </c>
      <c r="N104" s="204">
        <f t="shared" si="15"/>
        <v>0.15242424242424243</v>
      </c>
      <c r="O104" s="204">
        <f t="shared" si="16"/>
        <v>0.16656565656565656</v>
      </c>
      <c r="P104" s="204">
        <f t="shared" si="17"/>
        <v>0.17934343434343433</v>
      </c>
    </row>
    <row r="105" spans="1:16">
      <c r="A105" s="123" t="s">
        <v>227</v>
      </c>
      <c r="B105" s="105">
        <v>130000</v>
      </c>
      <c r="C105" s="9">
        <v>198000</v>
      </c>
      <c r="D105" s="9">
        <v>229000</v>
      </c>
      <c r="E105" s="9">
        <v>204000</v>
      </c>
      <c r="F105" s="9">
        <v>192000</v>
      </c>
      <c r="G105" s="9">
        <v>230000</v>
      </c>
      <c r="H105" s="9">
        <v>249000</v>
      </c>
      <c r="I105" s="102">
        <f t="shared" si="10"/>
        <v>1432000</v>
      </c>
      <c r="J105" s="204">
        <f t="shared" si="11"/>
        <v>9.0782122905027934E-2</v>
      </c>
      <c r="K105" s="204">
        <f t="shared" si="12"/>
        <v>0.13826815642458101</v>
      </c>
      <c r="L105" s="204">
        <f t="shared" si="13"/>
        <v>0.15991620111731844</v>
      </c>
      <c r="M105" s="204">
        <f t="shared" si="14"/>
        <v>0.14245810055865921</v>
      </c>
      <c r="N105" s="204">
        <f t="shared" si="15"/>
        <v>0.13407821229050279</v>
      </c>
      <c r="O105" s="204">
        <f t="shared" si="16"/>
        <v>0.16061452513966482</v>
      </c>
      <c r="P105" s="204">
        <f t="shared" si="17"/>
        <v>0.1738826815642458</v>
      </c>
    </row>
    <row r="106" spans="1:16">
      <c r="A106" s="122" t="s">
        <v>228</v>
      </c>
      <c r="B106" s="105">
        <v>1017000</v>
      </c>
      <c r="C106" s="9">
        <v>1201000</v>
      </c>
      <c r="D106" s="9">
        <v>1388000</v>
      </c>
      <c r="E106" s="9">
        <v>1502000</v>
      </c>
      <c r="F106" s="9">
        <v>1680000</v>
      </c>
      <c r="G106" s="9">
        <v>1812000</v>
      </c>
      <c r="H106" s="9">
        <v>1962000</v>
      </c>
      <c r="I106" s="102">
        <f t="shared" si="10"/>
        <v>10562000</v>
      </c>
      <c r="J106" s="204">
        <f t="shared" si="11"/>
        <v>9.6288581708009843E-2</v>
      </c>
      <c r="K106" s="204">
        <f t="shared" si="12"/>
        <v>0.11370952471122893</v>
      </c>
      <c r="L106" s="204">
        <f t="shared" si="13"/>
        <v>0.13141450482863093</v>
      </c>
      <c r="M106" s="204">
        <f t="shared" si="14"/>
        <v>0.14220791516758191</v>
      </c>
      <c r="N106" s="204">
        <f t="shared" si="15"/>
        <v>0.15906078394243514</v>
      </c>
      <c r="O106" s="204">
        <f t="shared" si="16"/>
        <v>0.17155841696648361</v>
      </c>
      <c r="P106" s="204">
        <f t="shared" si="17"/>
        <v>0.18576027267562961</v>
      </c>
    </row>
    <row r="107" spans="1:16">
      <c r="A107" s="122" t="s">
        <v>229</v>
      </c>
      <c r="B107" s="105">
        <v>102000</v>
      </c>
      <c r="C107" s="9">
        <v>110000</v>
      </c>
      <c r="D107" s="9">
        <v>108000</v>
      </c>
      <c r="E107" s="9">
        <v>104000</v>
      </c>
      <c r="F107" s="9">
        <v>119000</v>
      </c>
      <c r="G107" s="9">
        <v>168000</v>
      </c>
      <c r="H107" s="9">
        <v>158000</v>
      </c>
      <c r="I107" s="102">
        <f t="shared" si="10"/>
        <v>869000</v>
      </c>
      <c r="J107" s="204">
        <f t="shared" si="11"/>
        <v>0.11737629459148446</v>
      </c>
      <c r="K107" s="204">
        <f t="shared" si="12"/>
        <v>0.12658227848101267</v>
      </c>
      <c r="L107" s="204">
        <f t="shared" si="13"/>
        <v>0.12428078250863062</v>
      </c>
      <c r="M107" s="204">
        <f t="shared" si="14"/>
        <v>0.11967779056386652</v>
      </c>
      <c r="N107" s="204">
        <f t="shared" si="15"/>
        <v>0.13693901035673187</v>
      </c>
      <c r="O107" s="204">
        <f t="shared" si="16"/>
        <v>0.19332566168009205</v>
      </c>
      <c r="P107" s="204">
        <f t="shared" si="17"/>
        <v>0.18181818181818182</v>
      </c>
    </row>
    <row r="108" spans="1:16">
      <c r="A108" s="122" t="s">
        <v>230</v>
      </c>
      <c r="B108" s="105">
        <v>92000</v>
      </c>
      <c r="C108" s="9">
        <v>78000</v>
      </c>
      <c r="D108" s="9">
        <v>109000</v>
      </c>
      <c r="E108" s="9">
        <v>77000</v>
      </c>
      <c r="F108" s="9">
        <v>150000</v>
      </c>
      <c r="G108" s="9">
        <v>128000</v>
      </c>
      <c r="H108" s="9">
        <v>148000</v>
      </c>
      <c r="I108" s="102">
        <f t="shared" si="10"/>
        <v>782000</v>
      </c>
      <c r="J108" s="204">
        <f t="shared" si="11"/>
        <v>0.11764705882352941</v>
      </c>
      <c r="K108" s="204">
        <f t="shared" si="12"/>
        <v>9.9744245524296671E-2</v>
      </c>
      <c r="L108" s="204">
        <f t="shared" si="13"/>
        <v>0.13938618925831203</v>
      </c>
      <c r="M108" s="204">
        <f t="shared" si="14"/>
        <v>9.8465473145780052E-2</v>
      </c>
      <c r="N108" s="204">
        <f t="shared" si="15"/>
        <v>0.1918158567774936</v>
      </c>
      <c r="O108" s="204">
        <f t="shared" si="16"/>
        <v>0.16368286445012789</v>
      </c>
      <c r="P108" s="204">
        <f t="shared" si="17"/>
        <v>0.18925831202046037</v>
      </c>
    </row>
    <row r="109" spans="1:16">
      <c r="A109" s="122" t="s">
        <v>231</v>
      </c>
      <c r="B109" s="105">
        <v>781000</v>
      </c>
      <c r="C109" s="9">
        <v>785000</v>
      </c>
      <c r="D109" s="9">
        <v>833000</v>
      </c>
      <c r="E109" s="9">
        <v>886000</v>
      </c>
      <c r="F109" s="9">
        <v>876000</v>
      </c>
      <c r="G109" s="9">
        <v>959000</v>
      </c>
      <c r="H109" s="9">
        <v>1035000</v>
      </c>
      <c r="I109" s="102">
        <f t="shared" si="10"/>
        <v>6155000</v>
      </c>
      <c r="J109" s="204">
        <f t="shared" si="11"/>
        <v>0.12688870836718116</v>
      </c>
      <c r="K109" s="204">
        <f t="shared" si="12"/>
        <v>0.12753858651502845</v>
      </c>
      <c r="L109" s="204">
        <f t="shared" si="13"/>
        <v>0.13533712428919578</v>
      </c>
      <c r="M109" s="204">
        <f t="shared" si="14"/>
        <v>0.14394800974817221</v>
      </c>
      <c r="N109" s="204">
        <f t="shared" si="15"/>
        <v>0.14232331437855403</v>
      </c>
      <c r="O109" s="204">
        <f t="shared" si="16"/>
        <v>0.15580828594638504</v>
      </c>
      <c r="P109" s="204">
        <f t="shared" si="17"/>
        <v>0.16815597075548336</v>
      </c>
    </row>
    <row r="110" spans="1:16">
      <c r="A110" s="121" t="s">
        <v>175</v>
      </c>
      <c r="B110" s="105">
        <v>2358000</v>
      </c>
      <c r="C110" s="9">
        <v>3113000</v>
      </c>
      <c r="D110" s="9">
        <v>3301000</v>
      </c>
      <c r="E110" s="9">
        <v>3566000</v>
      </c>
      <c r="F110" s="9">
        <v>3570000</v>
      </c>
      <c r="G110" s="9">
        <v>3899000</v>
      </c>
      <c r="H110" s="9">
        <v>4050000</v>
      </c>
      <c r="I110" s="102">
        <f t="shared" si="10"/>
        <v>23857000</v>
      </c>
      <c r="J110" s="204">
        <f t="shared" si="11"/>
        <v>9.8838915203085048E-2</v>
      </c>
      <c r="K110" s="204">
        <f t="shared" si="12"/>
        <v>0.13048581129228318</v>
      </c>
      <c r="L110" s="204">
        <f t="shared" si="13"/>
        <v>0.13836609800058683</v>
      </c>
      <c r="M110" s="204">
        <f t="shared" si="14"/>
        <v>0.14947394894580207</v>
      </c>
      <c r="N110" s="204">
        <f t="shared" si="15"/>
        <v>0.14964161462044684</v>
      </c>
      <c r="O110" s="204">
        <f t="shared" si="16"/>
        <v>0.1634321163599782</v>
      </c>
      <c r="P110" s="204">
        <f t="shared" si="17"/>
        <v>0.16976149557781783</v>
      </c>
    </row>
    <row r="111" spans="1:16">
      <c r="A111" s="121" t="s">
        <v>176</v>
      </c>
      <c r="B111" s="105">
        <v>13469000</v>
      </c>
      <c r="C111" s="9">
        <v>16575000</v>
      </c>
      <c r="D111" s="9">
        <v>18028000</v>
      </c>
      <c r="E111" s="9">
        <v>18098000</v>
      </c>
      <c r="F111" s="9">
        <v>19079000</v>
      </c>
      <c r="G111" s="9">
        <v>19504000</v>
      </c>
      <c r="H111" s="9">
        <v>19051000</v>
      </c>
      <c r="I111" s="102">
        <f t="shared" si="10"/>
        <v>123804000</v>
      </c>
      <c r="J111" s="204">
        <f t="shared" si="11"/>
        <v>0.10879293076152628</v>
      </c>
      <c r="K111" s="204">
        <f t="shared" si="12"/>
        <v>0.13388097315110981</v>
      </c>
      <c r="L111" s="204">
        <f t="shared" si="13"/>
        <v>0.14561726600109851</v>
      </c>
      <c r="M111" s="204">
        <f t="shared" si="14"/>
        <v>0.14618267584246067</v>
      </c>
      <c r="N111" s="204">
        <f t="shared" si="15"/>
        <v>0.15410649090497883</v>
      </c>
      <c r="O111" s="204">
        <f t="shared" si="16"/>
        <v>0.15753933637039191</v>
      </c>
      <c r="P111" s="204">
        <f t="shared" si="17"/>
        <v>0.15388032696843398</v>
      </c>
    </row>
    <row r="112" spans="1:16">
      <c r="A112" s="115" t="s">
        <v>677</v>
      </c>
      <c r="B112" s="144">
        <v>7440000</v>
      </c>
      <c r="C112" s="143">
        <v>9292000</v>
      </c>
      <c r="D112" s="143">
        <v>9764000</v>
      </c>
      <c r="E112" s="143">
        <v>10597000</v>
      </c>
      <c r="F112" s="143">
        <v>10701000</v>
      </c>
      <c r="G112" s="143">
        <v>11452000</v>
      </c>
      <c r="H112" s="143">
        <v>11708000</v>
      </c>
      <c r="I112" s="280">
        <f t="shared" si="10"/>
        <v>70954000</v>
      </c>
      <c r="J112" s="281">
        <f t="shared" si="11"/>
        <v>0.10485666770020013</v>
      </c>
      <c r="K112" s="281">
        <f t="shared" si="12"/>
        <v>0.13095808552019619</v>
      </c>
      <c r="L112" s="281">
        <f t="shared" si="13"/>
        <v>0.13761028271838091</v>
      </c>
      <c r="M112" s="281">
        <f t="shared" si="14"/>
        <v>0.14935028328212646</v>
      </c>
      <c r="N112" s="281">
        <f t="shared" si="15"/>
        <v>0.15081602164782817</v>
      </c>
      <c r="O112" s="281">
        <f t="shared" si="16"/>
        <v>0.16140034388477043</v>
      </c>
      <c r="P112" s="281">
        <f t="shared" si="17"/>
        <v>0.16500831524649773</v>
      </c>
    </row>
    <row r="113" spans="1:16">
      <c r="A113" s="116" t="s">
        <v>174</v>
      </c>
      <c r="B113" s="105">
        <v>1006000</v>
      </c>
      <c r="C113" s="9">
        <v>1082000</v>
      </c>
      <c r="D113" s="9">
        <v>1110000</v>
      </c>
      <c r="E113" s="9">
        <v>1233000</v>
      </c>
      <c r="F113" s="9">
        <v>1258000</v>
      </c>
      <c r="G113" s="9">
        <v>1413000</v>
      </c>
      <c r="H113" s="9">
        <v>1485000</v>
      </c>
      <c r="I113" s="102">
        <f t="shared" si="10"/>
        <v>8587000</v>
      </c>
      <c r="J113" s="204">
        <f t="shared" si="11"/>
        <v>0.11715383719576103</v>
      </c>
      <c r="K113" s="204">
        <f t="shared" si="12"/>
        <v>0.12600442529404915</v>
      </c>
      <c r="L113" s="204">
        <f t="shared" si="13"/>
        <v>0.12926516827762896</v>
      </c>
      <c r="M113" s="204">
        <f t="shared" si="14"/>
        <v>0.14358914638406894</v>
      </c>
      <c r="N113" s="204">
        <f t="shared" si="15"/>
        <v>0.1465005240479795</v>
      </c>
      <c r="O113" s="204">
        <f t="shared" si="16"/>
        <v>0.164551065564225</v>
      </c>
      <c r="P113" s="204">
        <f t="shared" si="17"/>
        <v>0.17293583323628742</v>
      </c>
    </row>
    <row r="114" spans="1:16">
      <c r="A114" s="118" t="s">
        <v>227</v>
      </c>
      <c r="B114" s="105">
        <v>78000</v>
      </c>
      <c r="C114" s="9">
        <v>109000</v>
      </c>
      <c r="D114" s="9">
        <v>116000</v>
      </c>
      <c r="E114" s="9">
        <v>123000</v>
      </c>
      <c r="F114" s="9">
        <v>102000</v>
      </c>
      <c r="G114" s="9">
        <v>107000</v>
      </c>
      <c r="H114" s="9">
        <v>136000</v>
      </c>
      <c r="I114" s="102">
        <f t="shared" si="10"/>
        <v>771000</v>
      </c>
      <c r="J114" s="204">
        <f t="shared" si="11"/>
        <v>0.10116731517509728</v>
      </c>
      <c r="K114" s="204">
        <f t="shared" si="12"/>
        <v>0.14137483787289234</v>
      </c>
      <c r="L114" s="204">
        <f t="shared" si="13"/>
        <v>0.15045395590142671</v>
      </c>
      <c r="M114" s="204">
        <f t="shared" si="14"/>
        <v>0.15953307392996108</v>
      </c>
      <c r="N114" s="204">
        <f t="shared" si="15"/>
        <v>0.13229571984435798</v>
      </c>
      <c r="O114" s="204">
        <f t="shared" si="16"/>
        <v>0.13878080415045396</v>
      </c>
      <c r="P114" s="204">
        <f t="shared" si="17"/>
        <v>0.17639429312581065</v>
      </c>
    </row>
    <row r="115" spans="1:16">
      <c r="A115" s="117" t="s">
        <v>228</v>
      </c>
      <c r="B115" s="105">
        <v>364000</v>
      </c>
      <c r="C115" s="9">
        <v>406000</v>
      </c>
      <c r="D115" s="9">
        <v>402000</v>
      </c>
      <c r="E115" s="9">
        <v>515000</v>
      </c>
      <c r="F115" s="9">
        <v>533000</v>
      </c>
      <c r="G115" s="9">
        <v>616000</v>
      </c>
      <c r="H115" s="9">
        <v>653000</v>
      </c>
      <c r="I115" s="102">
        <f t="shared" si="10"/>
        <v>3489000</v>
      </c>
      <c r="J115" s="204">
        <f t="shared" si="11"/>
        <v>0.10432788764689023</v>
      </c>
      <c r="K115" s="204">
        <f t="shared" si="12"/>
        <v>0.11636572083691603</v>
      </c>
      <c r="L115" s="204">
        <f t="shared" si="13"/>
        <v>0.11521926053310404</v>
      </c>
      <c r="M115" s="204">
        <f t="shared" si="14"/>
        <v>0.14760676411579249</v>
      </c>
      <c r="N115" s="204">
        <f t="shared" si="15"/>
        <v>0.15276583548294639</v>
      </c>
      <c r="O115" s="204">
        <f t="shared" si="16"/>
        <v>0.17655488678704501</v>
      </c>
      <c r="P115" s="204">
        <f t="shared" si="17"/>
        <v>0.18715964459730583</v>
      </c>
    </row>
    <row r="116" spans="1:16">
      <c r="A116" s="117" t="s">
        <v>229</v>
      </c>
      <c r="B116" s="105">
        <v>66000</v>
      </c>
      <c r="C116" s="9">
        <v>67000</v>
      </c>
      <c r="D116" s="9">
        <v>62000</v>
      </c>
      <c r="E116" s="9">
        <v>61000</v>
      </c>
      <c r="F116" s="9">
        <v>75000</v>
      </c>
      <c r="G116" s="9">
        <v>77000</v>
      </c>
      <c r="H116" s="9">
        <v>77000</v>
      </c>
      <c r="I116" s="102">
        <f t="shared" si="10"/>
        <v>485000</v>
      </c>
      <c r="J116" s="204">
        <f t="shared" si="11"/>
        <v>0.13608247422680411</v>
      </c>
      <c r="K116" s="204">
        <f t="shared" si="12"/>
        <v>0.13814432989690723</v>
      </c>
      <c r="L116" s="204">
        <f t="shared" si="13"/>
        <v>0.12783505154639174</v>
      </c>
      <c r="M116" s="204">
        <f t="shared" si="14"/>
        <v>0.12577319587628866</v>
      </c>
      <c r="N116" s="204">
        <f t="shared" si="15"/>
        <v>0.15463917525773196</v>
      </c>
      <c r="O116" s="204">
        <f t="shared" si="16"/>
        <v>0.15876288659793814</v>
      </c>
      <c r="P116" s="204">
        <f t="shared" si="17"/>
        <v>0.15876288659793814</v>
      </c>
    </row>
    <row r="117" spans="1:16">
      <c r="A117" s="117" t="s">
        <v>230</v>
      </c>
      <c r="B117" s="105">
        <v>181000</v>
      </c>
      <c r="C117" s="9">
        <v>190000</v>
      </c>
      <c r="D117" s="9">
        <v>215000</v>
      </c>
      <c r="E117" s="9">
        <v>191000</v>
      </c>
      <c r="F117" s="9">
        <v>203000</v>
      </c>
      <c r="G117" s="9">
        <v>209000</v>
      </c>
      <c r="H117" s="9">
        <v>230000</v>
      </c>
      <c r="I117" s="102">
        <f t="shared" si="10"/>
        <v>1419000</v>
      </c>
      <c r="J117" s="204">
        <f t="shared" si="11"/>
        <v>0.12755461592670894</v>
      </c>
      <c r="K117" s="204">
        <f t="shared" si="12"/>
        <v>0.1338971106412967</v>
      </c>
      <c r="L117" s="204">
        <f t="shared" si="13"/>
        <v>0.15151515151515152</v>
      </c>
      <c r="M117" s="204">
        <f t="shared" si="14"/>
        <v>0.13460183227625089</v>
      </c>
      <c r="N117" s="204">
        <f t="shared" si="15"/>
        <v>0.14305849189570119</v>
      </c>
      <c r="O117" s="204">
        <f t="shared" si="16"/>
        <v>0.14728682170542637</v>
      </c>
      <c r="P117" s="204">
        <f t="shared" si="17"/>
        <v>0.16208597603946442</v>
      </c>
    </row>
    <row r="118" spans="1:16">
      <c r="A118" s="117" t="s">
        <v>231</v>
      </c>
      <c r="B118" s="105">
        <v>317000</v>
      </c>
      <c r="C118" s="9">
        <v>310000</v>
      </c>
      <c r="D118" s="9">
        <v>315000</v>
      </c>
      <c r="E118" s="9">
        <v>343000</v>
      </c>
      <c r="F118" s="9">
        <v>345000</v>
      </c>
      <c r="G118" s="9">
        <v>405000</v>
      </c>
      <c r="H118" s="9">
        <v>390000</v>
      </c>
      <c r="I118" s="102">
        <f t="shared" si="10"/>
        <v>2425000</v>
      </c>
      <c r="J118" s="204">
        <f t="shared" si="11"/>
        <v>0.13072164948453607</v>
      </c>
      <c r="K118" s="204">
        <f t="shared" si="12"/>
        <v>0.12783505154639174</v>
      </c>
      <c r="L118" s="204">
        <f t="shared" si="13"/>
        <v>0.12989690721649486</v>
      </c>
      <c r="M118" s="204">
        <f t="shared" si="14"/>
        <v>0.14144329896907218</v>
      </c>
      <c r="N118" s="204">
        <f t="shared" si="15"/>
        <v>0.1422680412371134</v>
      </c>
      <c r="O118" s="204">
        <f t="shared" si="16"/>
        <v>0.1670103092783505</v>
      </c>
      <c r="P118" s="204">
        <f t="shared" si="17"/>
        <v>0.16082474226804125</v>
      </c>
    </row>
    <row r="119" spans="1:16">
      <c r="A119" s="116" t="s">
        <v>175</v>
      </c>
      <c r="B119" s="105">
        <v>1052000</v>
      </c>
      <c r="C119" s="9">
        <v>1492000</v>
      </c>
      <c r="D119" s="9">
        <v>1605000</v>
      </c>
      <c r="E119" s="9">
        <v>1728000</v>
      </c>
      <c r="F119" s="9">
        <v>1820000</v>
      </c>
      <c r="G119" s="9">
        <v>1880000</v>
      </c>
      <c r="H119" s="9">
        <v>2081000</v>
      </c>
      <c r="I119" s="102">
        <f t="shared" si="10"/>
        <v>11658000</v>
      </c>
      <c r="J119" s="204">
        <f t="shared" si="11"/>
        <v>9.0238462858123175E-2</v>
      </c>
      <c r="K119" s="204">
        <f t="shared" si="12"/>
        <v>0.1279807857265397</v>
      </c>
      <c r="L119" s="204">
        <f t="shared" si="13"/>
        <v>0.13767370046320124</v>
      </c>
      <c r="M119" s="204">
        <f t="shared" si="14"/>
        <v>0.14822439526505404</v>
      </c>
      <c r="N119" s="204">
        <f t="shared" si="15"/>
        <v>0.15611597186481385</v>
      </c>
      <c r="O119" s="204">
        <f t="shared" si="16"/>
        <v>0.16126265225596156</v>
      </c>
      <c r="P119" s="204">
        <f t="shared" si="17"/>
        <v>0.1785040315663064</v>
      </c>
    </row>
    <row r="120" spans="1:16">
      <c r="A120" s="116" t="s">
        <v>176</v>
      </c>
      <c r="B120" s="105">
        <v>5382000</v>
      </c>
      <c r="C120" s="9">
        <v>6718000</v>
      </c>
      <c r="D120" s="9">
        <v>7049000</v>
      </c>
      <c r="E120" s="9">
        <v>7635000</v>
      </c>
      <c r="F120" s="9">
        <v>7623000</v>
      </c>
      <c r="G120" s="9">
        <v>8160000</v>
      </c>
      <c r="H120" s="9">
        <v>8142000</v>
      </c>
      <c r="I120" s="102">
        <f t="shared" si="10"/>
        <v>50709000</v>
      </c>
      <c r="J120" s="204">
        <f t="shared" si="11"/>
        <v>0.10613500562030409</v>
      </c>
      <c r="K120" s="204">
        <f t="shared" si="12"/>
        <v>0.13248141355577905</v>
      </c>
      <c r="L120" s="204">
        <f t="shared" si="13"/>
        <v>0.13900885444398431</v>
      </c>
      <c r="M120" s="204">
        <f t="shared" si="14"/>
        <v>0.15056498846358635</v>
      </c>
      <c r="N120" s="204">
        <f t="shared" si="15"/>
        <v>0.15032834408093237</v>
      </c>
      <c r="O120" s="204">
        <f t="shared" si="16"/>
        <v>0.16091818020469739</v>
      </c>
      <c r="P120" s="204">
        <f t="shared" si="17"/>
        <v>0.16056321363071643</v>
      </c>
    </row>
    <row r="121" spans="1:16">
      <c r="A121" s="138" t="s">
        <v>678</v>
      </c>
      <c r="B121" s="136">
        <v>920000</v>
      </c>
      <c r="C121" s="137">
        <v>1001000</v>
      </c>
      <c r="D121" s="137">
        <v>1053000</v>
      </c>
      <c r="E121" s="137">
        <v>1105000</v>
      </c>
      <c r="F121" s="137">
        <v>1197000</v>
      </c>
      <c r="G121" s="137">
        <v>1337000</v>
      </c>
      <c r="H121" s="137">
        <v>1371000</v>
      </c>
      <c r="I121" s="282">
        <f t="shared" si="10"/>
        <v>7984000</v>
      </c>
      <c r="J121" s="283">
        <f t="shared" si="11"/>
        <v>0.11523046092184369</v>
      </c>
      <c r="K121" s="283">
        <f t="shared" si="12"/>
        <v>0.12537575150300601</v>
      </c>
      <c r="L121" s="283">
        <f t="shared" si="13"/>
        <v>0.13188877755511022</v>
      </c>
      <c r="M121" s="283">
        <f t="shared" si="14"/>
        <v>0.13840180360721444</v>
      </c>
      <c r="N121" s="283">
        <f t="shared" si="15"/>
        <v>0.14992484969939879</v>
      </c>
      <c r="O121" s="283">
        <f t="shared" si="16"/>
        <v>0.16745991983967937</v>
      </c>
      <c r="P121" s="283">
        <f t="shared" si="17"/>
        <v>0.17171843687374749</v>
      </c>
    </row>
    <row r="122" spans="1:16">
      <c r="A122" s="139" t="s">
        <v>174</v>
      </c>
      <c r="B122" s="105">
        <v>392000</v>
      </c>
      <c r="C122" s="9">
        <v>412000</v>
      </c>
      <c r="D122" s="9">
        <v>424000</v>
      </c>
      <c r="E122" s="9">
        <v>433000</v>
      </c>
      <c r="F122" s="9">
        <v>447000</v>
      </c>
      <c r="G122" s="9">
        <v>518000</v>
      </c>
      <c r="H122" s="9">
        <v>535000</v>
      </c>
      <c r="I122" s="102">
        <f t="shared" si="10"/>
        <v>3161000</v>
      </c>
      <c r="J122" s="204">
        <f t="shared" si="11"/>
        <v>0.12401138880101234</v>
      </c>
      <c r="K122" s="204">
        <f t="shared" si="12"/>
        <v>0.13033850047453338</v>
      </c>
      <c r="L122" s="204">
        <f t="shared" si="13"/>
        <v>0.134134767478646</v>
      </c>
      <c r="M122" s="204">
        <f t="shared" si="14"/>
        <v>0.13698196773173046</v>
      </c>
      <c r="N122" s="204">
        <f t="shared" si="15"/>
        <v>0.1414109459031952</v>
      </c>
      <c r="O122" s="204">
        <f t="shared" si="16"/>
        <v>0.16387219234419487</v>
      </c>
      <c r="P122" s="204">
        <f t="shared" si="17"/>
        <v>0.16925023726668775</v>
      </c>
    </row>
    <row r="123" spans="1:16">
      <c r="A123" s="141" t="s">
        <v>227</v>
      </c>
      <c r="B123" s="105">
        <v>99000</v>
      </c>
      <c r="C123" s="9">
        <v>109000</v>
      </c>
      <c r="D123" s="9">
        <v>105000</v>
      </c>
      <c r="E123" s="9">
        <v>110000</v>
      </c>
      <c r="F123" s="9">
        <v>112000</v>
      </c>
      <c r="G123" s="9">
        <v>127000</v>
      </c>
      <c r="H123" s="9">
        <v>152000</v>
      </c>
      <c r="I123" s="102">
        <f t="shared" si="10"/>
        <v>814000</v>
      </c>
      <c r="J123" s="204">
        <f t="shared" si="11"/>
        <v>0.12162162162162163</v>
      </c>
      <c r="K123" s="204">
        <f t="shared" si="12"/>
        <v>0.1339066339066339</v>
      </c>
      <c r="L123" s="204">
        <f t="shared" si="13"/>
        <v>0.128992628992629</v>
      </c>
      <c r="M123" s="204">
        <f t="shared" si="14"/>
        <v>0.13513513513513514</v>
      </c>
      <c r="N123" s="204">
        <f t="shared" si="15"/>
        <v>0.13759213759213759</v>
      </c>
      <c r="O123" s="204">
        <f t="shared" si="16"/>
        <v>0.15601965601965603</v>
      </c>
      <c r="P123" s="204">
        <f t="shared" si="17"/>
        <v>0.18673218673218672</v>
      </c>
    </row>
    <row r="124" spans="1:16">
      <c r="A124" s="140" t="s">
        <v>228</v>
      </c>
      <c r="B124" s="105">
        <v>50000</v>
      </c>
      <c r="C124" s="9">
        <v>53000</v>
      </c>
      <c r="D124" s="9">
        <v>53000</v>
      </c>
      <c r="E124" s="9">
        <v>49000</v>
      </c>
      <c r="F124" s="9">
        <v>62000</v>
      </c>
      <c r="G124" s="9">
        <v>75000</v>
      </c>
      <c r="H124" s="9">
        <v>75000</v>
      </c>
      <c r="I124" s="102">
        <f t="shared" si="10"/>
        <v>417000</v>
      </c>
      <c r="J124" s="204">
        <f t="shared" si="11"/>
        <v>0.11990407673860912</v>
      </c>
      <c r="K124" s="204">
        <f t="shared" si="12"/>
        <v>0.12709832134292565</v>
      </c>
      <c r="L124" s="204">
        <f t="shared" si="13"/>
        <v>0.12709832134292565</v>
      </c>
      <c r="M124" s="204">
        <f t="shared" si="14"/>
        <v>0.11750599520383694</v>
      </c>
      <c r="N124" s="204">
        <f t="shared" si="15"/>
        <v>0.14868105515587529</v>
      </c>
      <c r="O124" s="204">
        <f t="shared" si="16"/>
        <v>0.17985611510791366</v>
      </c>
      <c r="P124" s="204">
        <f t="shared" si="17"/>
        <v>0.17985611510791366</v>
      </c>
    </row>
    <row r="125" spans="1:16">
      <c r="A125" s="140" t="s">
        <v>229</v>
      </c>
      <c r="B125" s="105">
        <v>63000</v>
      </c>
      <c r="C125" s="9">
        <v>68000</v>
      </c>
      <c r="D125" s="9">
        <v>68000</v>
      </c>
      <c r="E125" s="9">
        <v>64000</v>
      </c>
      <c r="F125" s="9">
        <v>61000</v>
      </c>
      <c r="G125" s="9">
        <v>70000</v>
      </c>
      <c r="H125" s="9">
        <v>72000</v>
      </c>
      <c r="I125" s="102">
        <f t="shared" si="10"/>
        <v>466000</v>
      </c>
      <c r="J125" s="204">
        <f t="shared" si="11"/>
        <v>0.13519313304721031</v>
      </c>
      <c r="K125" s="204">
        <f t="shared" si="12"/>
        <v>0.14592274678111589</v>
      </c>
      <c r="L125" s="204">
        <f t="shared" si="13"/>
        <v>0.14592274678111589</v>
      </c>
      <c r="M125" s="204">
        <f t="shared" si="14"/>
        <v>0.13733905579399142</v>
      </c>
      <c r="N125" s="204">
        <f t="shared" si="15"/>
        <v>0.13090128755364808</v>
      </c>
      <c r="O125" s="204">
        <f t="shared" si="16"/>
        <v>0.15021459227467812</v>
      </c>
      <c r="P125" s="204">
        <f t="shared" si="17"/>
        <v>0.15450643776824036</v>
      </c>
    </row>
    <row r="126" spans="1:16">
      <c r="A126" s="140" t="s">
        <v>230</v>
      </c>
      <c r="B126" s="105">
        <v>129000</v>
      </c>
      <c r="C126" s="9">
        <v>142000</v>
      </c>
      <c r="D126" s="9">
        <v>152000</v>
      </c>
      <c r="E126" s="9">
        <v>162000</v>
      </c>
      <c r="F126" s="9">
        <v>160000</v>
      </c>
      <c r="G126" s="9">
        <v>186000</v>
      </c>
      <c r="H126" s="9">
        <v>176000</v>
      </c>
      <c r="I126" s="102">
        <f t="shared" si="10"/>
        <v>1107000</v>
      </c>
      <c r="J126" s="204">
        <f t="shared" si="11"/>
        <v>0.11653116531165311</v>
      </c>
      <c r="K126" s="204">
        <f t="shared" si="12"/>
        <v>0.12827461607949414</v>
      </c>
      <c r="L126" s="204">
        <f t="shared" si="13"/>
        <v>0.13730803974706413</v>
      </c>
      <c r="M126" s="204">
        <f t="shared" si="14"/>
        <v>0.14634146341463414</v>
      </c>
      <c r="N126" s="204">
        <f t="shared" si="15"/>
        <v>0.14453477868112014</v>
      </c>
      <c r="O126" s="204">
        <f t="shared" si="16"/>
        <v>0.16802168021680217</v>
      </c>
      <c r="P126" s="204">
        <f t="shared" si="17"/>
        <v>0.15898825654923215</v>
      </c>
    </row>
    <row r="127" spans="1:16">
      <c r="A127" s="140" t="s">
        <v>231</v>
      </c>
      <c r="B127" s="105">
        <v>51000</v>
      </c>
      <c r="C127" s="9">
        <v>40000</v>
      </c>
      <c r="D127" s="9">
        <v>47000</v>
      </c>
      <c r="E127" s="9">
        <v>49000</v>
      </c>
      <c r="F127" s="9">
        <v>51000</v>
      </c>
      <c r="G127" s="9">
        <v>60000</v>
      </c>
      <c r="H127" s="9">
        <v>60000</v>
      </c>
      <c r="I127" s="102">
        <f t="shared" si="10"/>
        <v>358000</v>
      </c>
      <c r="J127" s="204">
        <f t="shared" si="11"/>
        <v>0.14245810055865921</v>
      </c>
      <c r="K127" s="204">
        <f t="shared" si="12"/>
        <v>0.11173184357541899</v>
      </c>
      <c r="L127" s="204">
        <f t="shared" si="13"/>
        <v>0.13128491620111732</v>
      </c>
      <c r="M127" s="204">
        <f t="shared" si="14"/>
        <v>0.13687150837988826</v>
      </c>
      <c r="N127" s="204">
        <f t="shared" si="15"/>
        <v>0.14245810055865921</v>
      </c>
      <c r="O127" s="204">
        <f t="shared" si="16"/>
        <v>0.16759776536312848</v>
      </c>
      <c r="P127" s="204">
        <f t="shared" si="17"/>
        <v>0.16759776536312848</v>
      </c>
    </row>
    <row r="128" spans="1:16">
      <c r="A128" s="139" t="s">
        <v>175</v>
      </c>
      <c r="B128" s="105">
        <v>89000</v>
      </c>
      <c r="C128" s="9">
        <v>138000</v>
      </c>
      <c r="D128" s="9">
        <v>157000</v>
      </c>
      <c r="E128" s="9">
        <v>141000</v>
      </c>
      <c r="F128" s="9">
        <v>164000</v>
      </c>
      <c r="G128" s="9">
        <v>231000</v>
      </c>
      <c r="H128" s="9">
        <v>247000</v>
      </c>
      <c r="I128" s="102">
        <f t="shared" si="10"/>
        <v>1167000</v>
      </c>
      <c r="J128" s="204">
        <f t="shared" si="11"/>
        <v>7.6263924592973431E-2</v>
      </c>
      <c r="K128" s="204">
        <f t="shared" si="12"/>
        <v>0.11825192802056556</v>
      </c>
      <c r="L128" s="204">
        <f t="shared" si="13"/>
        <v>0.13453299057412169</v>
      </c>
      <c r="M128" s="204">
        <f t="shared" si="14"/>
        <v>0.12082262210796915</v>
      </c>
      <c r="N128" s="204">
        <f t="shared" si="15"/>
        <v>0.1405312767780634</v>
      </c>
      <c r="O128" s="204">
        <f t="shared" si="16"/>
        <v>0.19794344473007713</v>
      </c>
      <c r="P128" s="204">
        <f t="shared" si="17"/>
        <v>0.21165381319622964</v>
      </c>
    </row>
    <row r="129" spans="1:16">
      <c r="A129" s="139" t="s">
        <v>176</v>
      </c>
      <c r="B129" s="105">
        <v>439000</v>
      </c>
      <c r="C129" s="9">
        <v>451000</v>
      </c>
      <c r="D129" s="9">
        <v>472000</v>
      </c>
      <c r="E129" s="9">
        <v>531000</v>
      </c>
      <c r="F129" s="9">
        <v>586000</v>
      </c>
      <c r="G129" s="9">
        <v>588000</v>
      </c>
      <c r="H129" s="9">
        <v>588000</v>
      </c>
      <c r="I129" s="102">
        <f t="shared" si="10"/>
        <v>3655000</v>
      </c>
      <c r="J129" s="204">
        <f t="shared" si="11"/>
        <v>0.120109439124487</v>
      </c>
      <c r="K129" s="204">
        <f t="shared" si="12"/>
        <v>0.12339261285909713</v>
      </c>
      <c r="L129" s="204">
        <f t="shared" si="13"/>
        <v>0.12913816689466484</v>
      </c>
      <c r="M129" s="204">
        <f t="shared" si="14"/>
        <v>0.14528043775649796</v>
      </c>
      <c r="N129" s="204">
        <f t="shared" si="15"/>
        <v>0.16032831737346101</v>
      </c>
      <c r="O129" s="204">
        <f t="shared" si="16"/>
        <v>0.16087551299589603</v>
      </c>
      <c r="P129" s="204">
        <f t="shared" si="17"/>
        <v>0.16087551299589603</v>
      </c>
    </row>
    <row r="130" spans="1:16">
      <c r="A130" s="112" t="s">
        <v>681</v>
      </c>
      <c r="B130" s="109">
        <v>1920000</v>
      </c>
      <c r="C130" s="104">
        <v>2280000</v>
      </c>
      <c r="D130" s="104">
        <v>2323000</v>
      </c>
      <c r="E130" s="104">
        <v>2431000</v>
      </c>
      <c r="F130" s="104">
        <v>2532000</v>
      </c>
      <c r="G130" s="104">
        <v>2432000</v>
      </c>
      <c r="H130" s="104">
        <v>2722000</v>
      </c>
    </row>
    <row r="131" spans="1:16">
      <c r="A131" s="163" t="s">
        <v>174</v>
      </c>
      <c r="B131" s="105">
        <v>37000</v>
      </c>
      <c r="C131" s="9">
        <v>41000</v>
      </c>
      <c r="D131" s="9">
        <v>37000</v>
      </c>
      <c r="E131" s="9">
        <v>45000</v>
      </c>
      <c r="F131" s="9">
        <v>48000</v>
      </c>
      <c r="G131" s="9">
        <v>46000</v>
      </c>
      <c r="H131" s="9">
        <v>61000</v>
      </c>
    </row>
    <row r="132" spans="1:16">
      <c r="A132" s="201" t="s">
        <v>227</v>
      </c>
      <c r="B132" s="105">
        <v>10000</v>
      </c>
      <c r="C132" s="9">
        <v>7000</v>
      </c>
      <c r="D132" s="9">
        <v>4000</v>
      </c>
      <c r="E132" s="9">
        <v>6000</v>
      </c>
      <c r="F132" s="9">
        <v>6000</v>
      </c>
      <c r="G132" s="9">
        <v>6000</v>
      </c>
      <c r="H132" s="9">
        <v>11000</v>
      </c>
    </row>
    <row r="133" spans="1:16">
      <c r="A133" s="202" t="s">
        <v>228</v>
      </c>
      <c r="B133" s="105">
        <v>10000</v>
      </c>
      <c r="C133" s="9">
        <v>5000</v>
      </c>
      <c r="D133" s="9">
        <v>7000</v>
      </c>
      <c r="E133" s="9">
        <v>12000</v>
      </c>
      <c r="F133" s="9">
        <v>8000</v>
      </c>
      <c r="G133" s="9">
        <v>9000</v>
      </c>
      <c r="H133" s="9">
        <v>17000</v>
      </c>
    </row>
    <row r="134" spans="1:16">
      <c r="A134" s="202" t="s">
        <v>229</v>
      </c>
      <c r="B134" s="162" t="s">
        <v>191</v>
      </c>
      <c r="C134" s="13" t="s">
        <v>220</v>
      </c>
      <c r="D134" s="13" t="s">
        <v>220</v>
      </c>
      <c r="E134" s="13" t="s">
        <v>222</v>
      </c>
      <c r="F134" s="9">
        <v>2000</v>
      </c>
      <c r="G134" s="9">
        <v>2000</v>
      </c>
      <c r="H134" s="9">
        <v>1000</v>
      </c>
    </row>
    <row r="135" spans="1:16">
      <c r="A135" s="202" t="s">
        <v>230</v>
      </c>
      <c r="B135" s="105">
        <v>14000</v>
      </c>
      <c r="C135" s="9">
        <v>28000</v>
      </c>
      <c r="D135" s="9">
        <v>23000</v>
      </c>
      <c r="E135" s="9">
        <v>23000</v>
      </c>
      <c r="F135" s="9">
        <v>30000</v>
      </c>
      <c r="G135" s="9">
        <v>28000</v>
      </c>
      <c r="H135" s="9">
        <v>30000</v>
      </c>
    </row>
    <row r="136" spans="1:16">
      <c r="A136" s="202" t="s">
        <v>231</v>
      </c>
      <c r="B136" s="105">
        <v>2000</v>
      </c>
      <c r="C136" s="13" t="s">
        <v>220</v>
      </c>
      <c r="D136" s="9">
        <v>2000</v>
      </c>
      <c r="E136" s="9">
        <v>4000</v>
      </c>
      <c r="F136" s="13" t="s">
        <v>191</v>
      </c>
      <c r="G136" s="9">
        <v>3000</v>
      </c>
      <c r="H136" s="13" t="s">
        <v>191</v>
      </c>
    </row>
    <row r="137" spans="1:16">
      <c r="A137" s="163" t="s">
        <v>175</v>
      </c>
      <c r="B137" s="105">
        <v>815000</v>
      </c>
      <c r="C137" s="9">
        <v>922000</v>
      </c>
      <c r="D137" s="9">
        <v>978000</v>
      </c>
      <c r="E137" s="9">
        <v>1076000</v>
      </c>
      <c r="F137" s="9">
        <v>1088000</v>
      </c>
      <c r="G137" s="9">
        <v>1082000</v>
      </c>
      <c r="H137" s="9">
        <v>1214000</v>
      </c>
    </row>
    <row r="138" spans="1:16">
      <c r="A138" s="163" t="s">
        <v>176</v>
      </c>
      <c r="B138" s="110">
        <v>1068000</v>
      </c>
      <c r="C138" s="21">
        <v>1317000</v>
      </c>
      <c r="D138" s="21">
        <v>1309000</v>
      </c>
      <c r="E138" s="21">
        <v>1310000</v>
      </c>
      <c r="F138" s="21">
        <v>1396000</v>
      </c>
      <c r="G138" s="21">
        <v>1304000</v>
      </c>
      <c r="H138" s="21">
        <v>1447000</v>
      </c>
    </row>
    <row r="139" spans="1:16">
      <c r="A139" s="421" t="s">
        <v>224</v>
      </c>
      <c r="B139" s="421"/>
      <c r="C139" s="421"/>
      <c r="D139" s="421"/>
      <c r="E139" s="421"/>
      <c r="F139" s="421"/>
      <c r="G139" s="421"/>
      <c r="H139" s="421"/>
      <c r="I139" s="421"/>
      <c r="J139" s="245"/>
      <c r="K139" s="245"/>
      <c r="L139" s="245"/>
    </row>
    <row r="140" spans="1:16">
      <c r="A140" s="420" t="s">
        <v>654</v>
      </c>
      <c r="B140" s="420"/>
      <c r="C140" s="420"/>
      <c r="D140" s="420"/>
      <c r="E140" s="420"/>
      <c r="F140" s="420"/>
      <c r="G140" s="420"/>
      <c r="H140" s="420"/>
      <c r="I140" s="420"/>
      <c r="J140" s="244"/>
      <c r="K140" s="244"/>
      <c r="L140" s="244"/>
    </row>
  </sheetData>
  <mergeCells count="3">
    <mergeCell ref="A1:I1"/>
    <mergeCell ref="A139:I139"/>
    <mergeCell ref="A140:I140"/>
  </mergeCells>
  <pageMargins left="0.7" right="0.7" top="0.75" bottom="0.75" header="0.3" footer="0.3"/>
  <drawing r:id="rId1"/>
  <legacy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I53"/>
  <sheetViews>
    <sheetView topLeftCell="A28" workbookViewId="0">
      <selection activeCell="A4" sqref="A4:H53"/>
    </sheetView>
  </sheetViews>
  <sheetFormatPr defaultRowHeight="13.2"/>
  <cols>
    <col min="1" max="1" width="47.44140625" customWidth="1"/>
    <col min="2" max="5" width="11.109375" customWidth="1"/>
    <col min="6" max="6" width="10.77734375" customWidth="1"/>
    <col min="7" max="8" width="11.109375" customWidth="1"/>
    <col min="9" max="9" width="2.77734375" customWidth="1"/>
  </cols>
  <sheetData>
    <row r="1" spans="1:9" ht="39" customHeight="1">
      <c r="A1" s="420" t="s">
        <v>667</v>
      </c>
      <c r="B1" s="420"/>
      <c r="C1" s="420"/>
      <c r="D1" s="420"/>
      <c r="E1" s="420"/>
      <c r="F1" s="420"/>
      <c r="G1" s="420"/>
      <c r="H1" s="420"/>
      <c r="I1" s="420"/>
    </row>
    <row r="2" spans="1:9" ht="1.95" customHeight="1"/>
    <row r="3" spans="1:9" ht="14.7" customHeight="1">
      <c r="A3" s="101" t="s">
        <v>583</v>
      </c>
      <c r="B3" s="87">
        <v>2003</v>
      </c>
      <c r="C3" s="87">
        <v>2010</v>
      </c>
      <c r="D3" s="87">
        <v>2013</v>
      </c>
      <c r="E3" s="87">
        <v>2015</v>
      </c>
      <c r="F3" s="87">
        <v>2017</v>
      </c>
      <c r="G3" s="87">
        <v>2019</v>
      </c>
      <c r="H3" s="87">
        <v>2021</v>
      </c>
    </row>
    <row r="4" spans="1:9" ht="12.45" customHeight="1">
      <c r="A4" s="131" t="s">
        <v>230</v>
      </c>
      <c r="B4" s="107">
        <v>61000</v>
      </c>
      <c r="C4" s="7">
        <v>80000</v>
      </c>
      <c r="D4" s="7">
        <v>97000</v>
      </c>
      <c r="E4" s="7">
        <v>117000</v>
      </c>
      <c r="F4" s="7">
        <v>102000</v>
      </c>
      <c r="G4" s="7">
        <v>112000</v>
      </c>
      <c r="H4" s="7">
        <v>129000</v>
      </c>
    </row>
    <row r="5" spans="1:9" ht="12.45" customHeight="1">
      <c r="A5" s="131" t="s">
        <v>231</v>
      </c>
      <c r="B5" s="105">
        <v>312000</v>
      </c>
      <c r="C5" s="9">
        <v>395000</v>
      </c>
      <c r="D5" s="9">
        <v>358000</v>
      </c>
      <c r="E5" s="9">
        <v>438000</v>
      </c>
      <c r="F5" s="9">
        <v>454000</v>
      </c>
      <c r="G5" s="9">
        <v>495000</v>
      </c>
      <c r="H5" s="9">
        <v>462000</v>
      </c>
    </row>
    <row r="6" spans="1:9" ht="12.45" customHeight="1">
      <c r="A6" s="130" t="s">
        <v>175</v>
      </c>
      <c r="B6" s="105">
        <v>842000</v>
      </c>
      <c r="C6" s="9">
        <v>1302000</v>
      </c>
      <c r="D6" s="9">
        <v>1467000</v>
      </c>
      <c r="E6" s="9">
        <v>1356000</v>
      </c>
      <c r="F6" s="9">
        <v>1630000</v>
      </c>
      <c r="G6" s="9">
        <v>1802000</v>
      </c>
      <c r="H6" s="9">
        <v>1930000</v>
      </c>
    </row>
    <row r="7" spans="1:9" ht="12.45" customHeight="1">
      <c r="A7" s="130" t="s">
        <v>176</v>
      </c>
      <c r="B7" s="105">
        <v>2472000</v>
      </c>
      <c r="C7" s="9">
        <v>3221000</v>
      </c>
      <c r="D7" s="9">
        <v>3709000</v>
      </c>
      <c r="E7" s="9">
        <v>4092000</v>
      </c>
      <c r="F7" s="9">
        <v>4499000</v>
      </c>
      <c r="G7" s="9">
        <v>4609000</v>
      </c>
      <c r="H7" s="9">
        <v>5120000</v>
      </c>
    </row>
    <row r="8" spans="1:9" ht="12.45" customHeight="1">
      <c r="A8" s="120" t="s">
        <v>218</v>
      </c>
      <c r="B8" s="124">
        <v>2418000</v>
      </c>
      <c r="C8" s="119">
        <v>3294000</v>
      </c>
      <c r="D8" s="119">
        <v>3807000</v>
      </c>
      <c r="E8" s="119">
        <v>4072000</v>
      </c>
      <c r="F8" s="119">
        <v>4464000</v>
      </c>
      <c r="G8" s="119">
        <v>4672000</v>
      </c>
      <c r="H8" s="119">
        <v>5036000</v>
      </c>
    </row>
    <row r="9" spans="1:9" ht="12.45" customHeight="1">
      <c r="A9" s="121" t="s">
        <v>174</v>
      </c>
      <c r="B9" s="105">
        <v>408000</v>
      </c>
      <c r="C9" s="9">
        <v>609000</v>
      </c>
      <c r="D9" s="9">
        <v>621000</v>
      </c>
      <c r="E9" s="9">
        <v>745000</v>
      </c>
      <c r="F9" s="9">
        <v>829000</v>
      </c>
      <c r="G9" s="9">
        <v>878000</v>
      </c>
      <c r="H9" s="9">
        <v>887000</v>
      </c>
    </row>
    <row r="10" spans="1:9" ht="12.45" customHeight="1">
      <c r="A10" s="123" t="s">
        <v>227</v>
      </c>
      <c r="B10" s="105">
        <v>16000</v>
      </c>
      <c r="C10" s="9">
        <v>36000</v>
      </c>
      <c r="D10" s="9">
        <v>35000</v>
      </c>
      <c r="E10" s="9">
        <v>37000</v>
      </c>
      <c r="F10" s="9">
        <v>38000</v>
      </c>
      <c r="G10" s="9">
        <v>47000</v>
      </c>
      <c r="H10" s="9">
        <v>46000</v>
      </c>
    </row>
    <row r="11" spans="1:9" ht="12.45" customHeight="1">
      <c r="A11" s="122" t="s">
        <v>228</v>
      </c>
      <c r="B11" s="105">
        <v>226000</v>
      </c>
      <c r="C11" s="9">
        <v>363000</v>
      </c>
      <c r="D11" s="9">
        <v>397000</v>
      </c>
      <c r="E11" s="9">
        <v>476000</v>
      </c>
      <c r="F11" s="9">
        <v>539000</v>
      </c>
      <c r="G11" s="9">
        <v>591000</v>
      </c>
      <c r="H11" s="9">
        <v>612000</v>
      </c>
    </row>
    <row r="12" spans="1:9" ht="12.45" customHeight="1">
      <c r="A12" s="122" t="s">
        <v>229</v>
      </c>
      <c r="B12" s="105">
        <v>17000</v>
      </c>
      <c r="C12" s="9">
        <v>16000</v>
      </c>
      <c r="D12" s="9">
        <v>19000</v>
      </c>
      <c r="E12" s="9">
        <v>22000</v>
      </c>
      <c r="F12" s="9">
        <v>45000</v>
      </c>
      <c r="G12" s="9">
        <v>22000</v>
      </c>
      <c r="H12" s="9">
        <v>20000</v>
      </c>
    </row>
    <row r="13" spans="1:9" ht="12.45" customHeight="1">
      <c r="A13" s="122" t="s">
        <v>230</v>
      </c>
      <c r="B13" s="105">
        <v>10000</v>
      </c>
      <c r="C13" s="9">
        <v>18000</v>
      </c>
      <c r="D13" s="9">
        <v>15000</v>
      </c>
      <c r="E13" s="9">
        <v>13000</v>
      </c>
      <c r="F13" s="9">
        <v>22000</v>
      </c>
      <c r="G13" s="9">
        <v>19000</v>
      </c>
      <c r="H13" s="9">
        <v>22000</v>
      </c>
    </row>
    <row r="14" spans="1:9" ht="12.45" customHeight="1">
      <c r="A14" s="122" t="s">
        <v>231</v>
      </c>
      <c r="B14" s="105">
        <v>139000</v>
      </c>
      <c r="C14" s="9">
        <v>175000</v>
      </c>
      <c r="D14" s="9">
        <v>154000</v>
      </c>
      <c r="E14" s="9">
        <v>197000</v>
      </c>
      <c r="F14" s="9">
        <v>184000</v>
      </c>
      <c r="G14" s="9">
        <v>199000</v>
      </c>
      <c r="H14" s="9">
        <v>187000</v>
      </c>
    </row>
    <row r="15" spans="1:9" ht="12.45" customHeight="1">
      <c r="A15" s="121" t="s">
        <v>175</v>
      </c>
      <c r="B15" s="105">
        <v>422000</v>
      </c>
      <c r="C15" s="9">
        <v>671000</v>
      </c>
      <c r="D15" s="9">
        <v>764000</v>
      </c>
      <c r="E15" s="9">
        <v>656000</v>
      </c>
      <c r="F15" s="9">
        <v>768000</v>
      </c>
      <c r="G15" s="9">
        <v>895000</v>
      </c>
      <c r="H15" s="9">
        <v>981000</v>
      </c>
    </row>
    <row r="16" spans="1:9" ht="12.45" customHeight="1">
      <c r="A16" s="121" t="s">
        <v>176</v>
      </c>
      <c r="B16" s="105">
        <v>1588000</v>
      </c>
      <c r="C16" s="9">
        <v>2014000</v>
      </c>
      <c r="D16" s="9">
        <v>2422000</v>
      </c>
      <c r="E16" s="9">
        <v>2672000</v>
      </c>
      <c r="F16" s="9">
        <v>2867000</v>
      </c>
      <c r="G16" s="9">
        <v>2899000</v>
      </c>
      <c r="H16" s="9">
        <v>3168000</v>
      </c>
    </row>
    <row r="17" spans="1:8" ht="12.45" customHeight="1">
      <c r="A17" s="115" t="s">
        <v>219</v>
      </c>
      <c r="B17" s="144">
        <v>1237000</v>
      </c>
      <c r="C17" s="143">
        <v>1826000</v>
      </c>
      <c r="D17" s="143">
        <v>1964000</v>
      </c>
      <c r="E17" s="143">
        <v>2291000</v>
      </c>
      <c r="F17" s="143">
        <v>2559000</v>
      </c>
      <c r="G17" s="143">
        <v>2706000</v>
      </c>
      <c r="H17" s="143">
        <v>2980000</v>
      </c>
    </row>
    <row r="18" spans="1:8" ht="12.45" customHeight="1">
      <c r="A18" s="116" t="s">
        <v>174</v>
      </c>
      <c r="B18" s="105">
        <v>399000</v>
      </c>
      <c r="C18" s="9">
        <v>562000</v>
      </c>
      <c r="D18" s="9">
        <v>580000</v>
      </c>
      <c r="E18" s="9">
        <v>842000</v>
      </c>
      <c r="F18" s="9">
        <v>811000</v>
      </c>
      <c r="G18" s="9">
        <v>873000</v>
      </c>
      <c r="H18" s="9">
        <v>926000</v>
      </c>
    </row>
    <row r="19" spans="1:8" ht="12.45" customHeight="1">
      <c r="A19" s="118" t="s">
        <v>227</v>
      </c>
      <c r="B19" s="105">
        <v>16000</v>
      </c>
      <c r="C19" s="9">
        <v>43000</v>
      </c>
      <c r="D19" s="9">
        <v>42000</v>
      </c>
      <c r="E19" s="9">
        <v>46000</v>
      </c>
      <c r="F19" s="9">
        <v>46000</v>
      </c>
      <c r="G19" s="9">
        <v>46000</v>
      </c>
      <c r="H19" s="9">
        <v>52000</v>
      </c>
    </row>
    <row r="20" spans="1:8" ht="12.45" customHeight="1">
      <c r="A20" s="117" t="s">
        <v>228</v>
      </c>
      <c r="B20" s="105">
        <v>217000</v>
      </c>
      <c r="C20" s="9">
        <v>310000</v>
      </c>
      <c r="D20" s="9">
        <v>343000</v>
      </c>
      <c r="E20" s="9">
        <v>533000</v>
      </c>
      <c r="F20" s="9">
        <v>505000</v>
      </c>
      <c r="G20" s="9">
        <v>553000</v>
      </c>
      <c r="H20" s="9">
        <v>599000</v>
      </c>
    </row>
    <row r="21" spans="1:8" ht="12.45" customHeight="1">
      <c r="A21" s="117" t="s">
        <v>229</v>
      </c>
      <c r="B21" s="105">
        <v>16000</v>
      </c>
      <c r="C21" s="9">
        <v>20000</v>
      </c>
      <c r="D21" s="9">
        <v>21000</v>
      </c>
      <c r="E21" s="9">
        <v>24000</v>
      </c>
      <c r="F21" s="9">
        <v>23000</v>
      </c>
      <c r="G21" s="9">
        <v>20000</v>
      </c>
      <c r="H21" s="9">
        <v>27000</v>
      </c>
    </row>
    <row r="22" spans="1:8" ht="12.45" customHeight="1">
      <c r="A22" s="117" t="s">
        <v>230</v>
      </c>
      <c r="B22" s="105">
        <v>24000</v>
      </c>
      <c r="C22" s="9">
        <v>28000</v>
      </c>
      <c r="D22" s="9">
        <v>33000</v>
      </c>
      <c r="E22" s="9">
        <v>58000</v>
      </c>
      <c r="F22" s="9">
        <v>32000</v>
      </c>
      <c r="G22" s="9">
        <v>40000</v>
      </c>
      <c r="H22" s="9">
        <v>53000</v>
      </c>
    </row>
    <row r="23" spans="1:8" ht="12.45" customHeight="1">
      <c r="A23" s="117" t="s">
        <v>231</v>
      </c>
      <c r="B23" s="105">
        <v>126000</v>
      </c>
      <c r="C23" s="9">
        <v>162000</v>
      </c>
      <c r="D23" s="9">
        <v>141000</v>
      </c>
      <c r="E23" s="9">
        <v>182000</v>
      </c>
      <c r="F23" s="9">
        <v>203000</v>
      </c>
      <c r="G23" s="9">
        <v>214000</v>
      </c>
      <c r="H23" s="9">
        <v>194000</v>
      </c>
    </row>
    <row r="24" spans="1:8" ht="12.45" customHeight="1">
      <c r="A24" s="116" t="s">
        <v>175</v>
      </c>
      <c r="B24" s="105">
        <v>157000</v>
      </c>
      <c r="C24" s="9">
        <v>273000</v>
      </c>
      <c r="D24" s="9">
        <v>340000</v>
      </c>
      <c r="E24" s="9">
        <v>336000</v>
      </c>
      <c r="F24" s="9">
        <v>443000</v>
      </c>
      <c r="G24" s="9">
        <v>453000</v>
      </c>
      <c r="H24" s="9">
        <v>497000</v>
      </c>
    </row>
    <row r="25" spans="1:8" ht="12.45" customHeight="1">
      <c r="A25" s="116" t="s">
        <v>176</v>
      </c>
      <c r="B25" s="105">
        <v>681000</v>
      </c>
      <c r="C25" s="9">
        <v>991000</v>
      </c>
      <c r="D25" s="9">
        <v>1044000</v>
      </c>
      <c r="E25" s="9">
        <v>1113000</v>
      </c>
      <c r="F25" s="9">
        <v>1306000</v>
      </c>
      <c r="G25" s="9">
        <v>1380000</v>
      </c>
      <c r="H25" s="9">
        <v>1557000</v>
      </c>
    </row>
    <row r="26" spans="1:8" ht="12.45" customHeight="1">
      <c r="A26" s="138" t="s">
        <v>221</v>
      </c>
      <c r="B26" s="136">
        <v>351000</v>
      </c>
      <c r="C26" s="137">
        <v>499000</v>
      </c>
      <c r="D26" s="137">
        <v>498000</v>
      </c>
      <c r="E26" s="137">
        <v>536000</v>
      </c>
      <c r="F26" s="137">
        <v>599000</v>
      </c>
      <c r="G26" s="137">
        <v>753000</v>
      </c>
      <c r="H26" s="137">
        <v>770000</v>
      </c>
    </row>
    <row r="27" spans="1:8" ht="12.45" customHeight="1">
      <c r="A27" s="139" t="s">
        <v>174</v>
      </c>
      <c r="B27" s="105">
        <v>213000</v>
      </c>
      <c r="C27" s="9">
        <v>279000</v>
      </c>
      <c r="D27" s="9">
        <v>300000</v>
      </c>
      <c r="E27" s="9">
        <v>318000</v>
      </c>
      <c r="F27" s="9">
        <v>339000</v>
      </c>
      <c r="G27" s="9">
        <v>420000</v>
      </c>
      <c r="H27" s="9">
        <v>427000</v>
      </c>
    </row>
    <row r="28" spans="1:8" ht="12.45" customHeight="1">
      <c r="A28" s="141" t="s">
        <v>227</v>
      </c>
      <c r="B28" s="105">
        <v>65000</v>
      </c>
      <c r="C28" s="9">
        <v>90000</v>
      </c>
      <c r="D28" s="9">
        <v>98000</v>
      </c>
      <c r="E28" s="9">
        <v>97000</v>
      </c>
      <c r="F28" s="9">
        <v>105000</v>
      </c>
      <c r="G28" s="9">
        <v>127000</v>
      </c>
      <c r="H28" s="9">
        <v>139000</v>
      </c>
    </row>
    <row r="29" spans="1:8" ht="12.45" customHeight="1">
      <c r="A29" s="140" t="s">
        <v>228</v>
      </c>
      <c r="B29" s="105">
        <v>45000</v>
      </c>
      <c r="C29" s="9">
        <v>55000</v>
      </c>
      <c r="D29" s="9">
        <v>59000</v>
      </c>
      <c r="E29" s="9">
        <v>68000</v>
      </c>
      <c r="F29" s="9">
        <v>88000</v>
      </c>
      <c r="G29" s="9">
        <v>114000</v>
      </c>
      <c r="H29" s="9">
        <v>110000</v>
      </c>
    </row>
    <row r="30" spans="1:8" ht="12.45" customHeight="1">
      <c r="A30" s="140" t="s">
        <v>229</v>
      </c>
      <c r="B30" s="105">
        <v>31000</v>
      </c>
      <c r="C30" s="9">
        <v>46000</v>
      </c>
      <c r="D30" s="9">
        <v>44000</v>
      </c>
      <c r="E30" s="9">
        <v>55000</v>
      </c>
      <c r="F30" s="9">
        <v>40000</v>
      </c>
      <c r="G30" s="9">
        <v>51000</v>
      </c>
      <c r="H30" s="9">
        <v>53000</v>
      </c>
    </row>
    <row r="31" spans="1:8" ht="12.45" customHeight="1">
      <c r="A31" s="140" t="s">
        <v>230</v>
      </c>
      <c r="B31" s="105">
        <v>25000</v>
      </c>
      <c r="C31" s="9">
        <v>32000</v>
      </c>
      <c r="D31" s="9">
        <v>37000</v>
      </c>
      <c r="E31" s="9">
        <v>39000</v>
      </c>
      <c r="F31" s="9">
        <v>41000</v>
      </c>
      <c r="G31" s="9">
        <v>48000</v>
      </c>
      <c r="H31" s="9">
        <v>46000</v>
      </c>
    </row>
    <row r="32" spans="1:8" ht="12.45" customHeight="1">
      <c r="A32" s="140" t="s">
        <v>231</v>
      </c>
      <c r="B32" s="105">
        <v>47000</v>
      </c>
      <c r="C32" s="9">
        <v>57000</v>
      </c>
      <c r="D32" s="9">
        <v>62000</v>
      </c>
      <c r="E32" s="9">
        <v>58000</v>
      </c>
      <c r="F32" s="9">
        <v>65000</v>
      </c>
      <c r="G32" s="9">
        <v>79000</v>
      </c>
      <c r="H32" s="9">
        <v>80000</v>
      </c>
    </row>
    <row r="33" spans="1:8" ht="12.45" customHeight="1">
      <c r="A33" s="139" t="s">
        <v>175</v>
      </c>
      <c r="B33" s="105">
        <v>34000</v>
      </c>
      <c r="C33" s="9">
        <v>86000</v>
      </c>
      <c r="D33" s="9">
        <v>79000</v>
      </c>
      <c r="E33" s="9">
        <v>87000</v>
      </c>
      <c r="F33" s="9">
        <v>103000</v>
      </c>
      <c r="G33" s="9">
        <v>155000</v>
      </c>
      <c r="H33" s="9">
        <v>127000</v>
      </c>
    </row>
    <row r="34" spans="1:8" ht="12.45" customHeight="1">
      <c r="A34" s="139" t="s">
        <v>176</v>
      </c>
      <c r="B34" s="105">
        <v>104000</v>
      </c>
      <c r="C34" s="9">
        <v>133000</v>
      </c>
      <c r="D34" s="9">
        <v>119000</v>
      </c>
      <c r="E34" s="9">
        <v>131000</v>
      </c>
      <c r="F34" s="9">
        <v>157000</v>
      </c>
      <c r="G34" s="9">
        <v>178000</v>
      </c>
      <c r="H34" s="9">
        <v>217000</v>
      </c>
    </row>
    <row r="35" spans="1:8" ht="12.45" customHeight="1">
      <c r="A35" s="112" t="s">
        <v>223</v>
      </c>
      <c r="B35" s="109">
        <v>340000</v>
      </c>
      <c r="C35" s="104">
        <v>371000</v>
      </c>
      <c r="D35" s="104">
        <v>435000</v>
      </c>
      <c r="E35" s="104">
        <v>472000</v>
      </c>
      <c r="F35" s="104">
        <v>504000</v>
      </c>
      <c r="G35" s="104">
        <v>471000</v>
      </c>
      <c r="H35" s="104">
        <v>525000</v>
      </c>
    </row>
    <row r="36" spans="1:8" ht="12.45" customHeight="1">
      <c r="A36" s="163" t="s">
        <v>174</v>
      </c>
      <c r="B36" s="105">
        <v>12000</v>
      </c>
      <c r="C36" s="9">
        <v>17000</v>
      </c>
      <c r="D36" s="9">
        <v>27000</v>
      </c>
      <c r="E36" s="9">
        <v>18000</v>
      </c>
      <c r="F36" s="9">
        <v>19000</v>
      </c>
      <c r="G36" s="9">
        <v>21000</v>
      </c>
      <c r="H36" s="9">
        <v>21000</v>
      </c>
    </row>
    <row r="37" spans="1:8" ht="12.45" customHeight="1">
      <c r="A37" s="201" t="s">
        <v>227</v>
      </c>
      <c r="B37" s="105">
        <v>7000</v>
      </c>
      <c r="C37" s="9">
        <v>10000</v>
      </c>
      <c r="D37" s="9">
        <v>10000</v>
      </c>
      <c r="E37" s="9">
        <v>9000</v>
      </c>
      <c r="F37" s="9">
        <v>9000</v>
      </c>
      <c r="G37" s="9">
        <v>8000</v>
      </c>
      <c r="H37" s="9">
        <v>9000</v>
      </c>
    </row>
    <row r="38" spans="1:8" ht="12.45" customHeight="1">
      <c r="A38" s="202" t="s">
        <v>228</v>
      </c>
      <c r="B38" s="105">
        <v>2000</v>
      </c>
      <c r="C38" s="13" t="s">
        <v>191</v>
      </c>
      <c r="D38" s="9">
        <v>4000</v>
      </c>
      <c r="E38" s="9">
        <v>2000</v>
      </c>
      <c r="F38" s="13" t="s">
        <v>191</v>
      </c>
      <c r="G38" s="9">
        <v>5000</v>
      </c>
      <c r="H38" s="13" t="s">
        <v>191</v>
      </c>
    </row>
    <row r="39" spans="1:8" ht="12.45" customHeight="1">
      <c r="A39" s="202" t="s">
        <v>229</v>
      </c>
      <c r="B39" s="162" t="s">
        <v>220</v>
      </c>
      <c r="C39" s="13" t="s">
        <v>220</v>
      </c>
      <c r="D39" s="13" t="s">
        <v>220</v>
      </c>
      <c r="E39" s="13" t="s">
        <v>220</v>
      </c>
      <c r="F39" s="13" t="s">
        <v>220</v>
      </c>
      <c r="G39" s="13" t="s">
        <v>220</v>
      </c>
      <c r="H39" s="13" t="s">
        <v>220</v>
      </c>
    </row>
    <row r="40" spans="1:8" ht="12.45" customHeight="1">
      <c r="A40" s="202" t="s">
        <v>230</v>
      </c>
      <c r="B40" s="105">
        <v>2000</v>
      </c>
      <c r="C40" s="9">
        <v>3000</v>
      </c>
      <c r="D40" s="9">
        <v>11000</v>
      </c>
      <c r="E40" s="9">
        <v>6000</v>
      </c>
      <c r="F40" s="9">
        <v>7000</v>
      </c>
      <c r="G40" s="9">
        <v>5000</v>
      </c>
      <c r="H40" s="9">
        <v>8000</v>
      </c>
    </row>
    <row r="41" spans="1:8" ht="12.45" customHeight="1">
      <c r="A41" s="202" t="s">
        <v>231</v>
      </c>
      <c r="B41" s="162" t="s">
        <v>220</v>
      </c>
      <c r="C41" s="13" t="s">
        <v>220</v>
      </c>
      <c r="D41" s="13" t="s">
        <v>220</v>
      </c>
      <c r="E41" s="13" t="s">
        <v>220</v>
      </c>
      <c r="F41" s="13" t="s">
        <v>220</v>
      </c>
      <c r="G41" s="13" t="s">
        <v>220</v>
      </c>
      <c r="H41" s="13" t="s">
        <v>220</v>
      </c>
    </row>
    <row r="42" spans="1:8" ht="12.45" customHeight="1">
      <c r="A42" s="163" t="s">
        <v>175</v>
      </c>
      <c r="B42" s="105">
        <v>230000</v>
      </c>
      <c r="C42" s="9">
        <v>271000</v>
      </c>
      <c r="D42" s="9">
        <v>283000</v>
      </c>
      <c r="E42" s="9">
        <v>277000</v>
      </c>
      <c r="F42" s="9">
        <v>316000</v>
      </c>
      <c r="G42" s="9">
        <v>298000</v>
      </c>
      <c r="H42" s="9">
        <v>325000</v>
      </c>
    </row>
    <row r="43" spans="1:8" ht="12.45" customHeight="1">
      <c r="A43" s="163" t="s">
        <v>176</v>
      </c>
      <c r="B43" s="105">
        <v>99000</v>
      </c>
      <c r="C43" s="9">
        <v>83000</v>
      </c>
      <c r="D43" s="9">
        <v>124000</v>
      </c>
      <c r="E43" s="9">
        <v>177000</v>
      </c>
      <c r="F43" s="9">
        <v>169000</v>
      </c>
      <c r="G43" s="9">
        <v>152000</v>
      </c>
      <c r="H43" s="9">
        <v>179000</v>
      </c>
    </row>
    <row r="44" spans="1:8" ht="24.75" customHeight="1">
      <c r="A44" s="129" t="s">
        <v>593</v>
      </c>
      <c r="B44" s="197">
        <v>28228000</v>
      </c>
      <c r="C44" s="198">
        <v>34633000</v>
      </c>
      <c r="D44" s="198">
        <v>37136000</v>
      </c>
      <c r="E44" s="198">
        <v>38570000</v>
      </c>
      <c r="F44" s="198">
        <v>40097000</v>
      </c>
      <c r="G44" s="198">
        <v>41922000</v>
      </c>
      <c r="H44" s="198">
        <v>42453000</v>
      </c>
    </row>
    <row r="45" spans="1:8" ht="12.45" customHeight="1">
      <c r="A45" s="130" t="s">
        <v>174</v>
      </c>
      <c r="B45" s="105">
        <v>3556000</v>
      </c>
      <c r="C45" s="9">
        <v>3907000</v>
      </c>
      <c r="D45" s="9">
        <v>4238000</v>
      </c>
      <c r="E45" s="9">
        <v>4484000</v>
      </c>
      <c r="F45" s="9">
        <v>4771000</v>
      </c>
      <c r="G45" s="9">
        <v>5275000</v>
      </c>
      <c r="H45" s="9">
        <v>5633000</v>
      </c>
    </row>
    <row r="46" spans="1:8" ht="12.45" customHeight="1">
      <c r="A46" s="131" t="s">
        <v>227</v>
      </c>
      <c r="B46" s="105">
        <v>316000</v>
      </c>
      <c r="C46" s="9">
        <v>423000</v>
      </c>
      <c r="D46" s="9">
        <v>454000</v>
      </c>
      <c r="E46" s="9">
        <v>442000</v>
      </c>
      <c r="F46" s="9">
        <v>412000</v>
      </c>
      <c r="G46" s="9">
        <v>469000</v>
      </c>
      <c r="H46" s="9">
        <v>548000</v>
      </c>
    </row>
    <row r="47" spans="1:8" ht="12.45" customHeight="1">
      <c r="A47" s="131" t="s">
        <v>228</v>
      </c>
      <c r="B47" s="105">
        <v>1440000</v>
      </c>
      <c r="C47" s="9">
        <v>1665000</v>
      </c>
      <c r="D47" s="9">
        <v>1849000</v>
      </c>
      <c r="E47" s="9">
        <v>2078000</v>
      </c>
      <c r="F47" s="9">
        <v>2284000</v>
      </c>
      <c r="G47" s="9">
        <v>2512000</v>
      </c>
      <c r="H47" s="9">
        <v>2707000</v>
      </c>
    </row>
    <row r="48" spans="1:8" ht="12.45" customHeight="1">
      <c r="A48" s="131" t="s">
        <v>229</v>
      </c>
      <c r="B48" s="105">
        <v>233000</v>
      </c>
      <c r="C48" s="9">
        <v>245000</v>
      </c>
      <c r="D48" s="9">
        <v>239000</v>
      </c>
      <c r="E48" s="9">
        <v>230000</v>
      </c>
      <c r="F48" s="9">
        <v>258000</v>
      </c>
      <c r="G48" s="9">
        <v>316000</v>
      </c>
      <c r="H48" s="9">
        <v>309000</v>
      </c>
    </row>
    <row r="49" spans="1:8" ht="12.45" customHeight="1">
      <c r="A49" s="131" t="s">
        <v>230</v>
      </c>
      <c r="B49" s="105">
        <v>416000</v>
      </c>
      <c r="C49" s="9">
        <v>438000</v>
      </c>
      <c r="D49" s="9">
        <v>499000</v>
      </c>
      <c r="E49" s="9">
        <v>453000</v>
      </c>
      <c r="F49" s="9">
        <v>544000</v>
      </c>
      <c r="G49" s="9">
        <v>551000</v>
      </c>
      <c r="H49" s="9">
        <v>583000</v>
      </c>
    </row>
    <row r="50" spans="1:8" ht="12.45" customHeight="1">
      <c r="A50" s="131" t="s">
        <v>231</v>
      </c>
      <c r="B50" s="105">
        <v>1150000</v>
      </c>
      <c r="C50" s="9">
        <v>1136000</v>
      </c>
      <c r="D50" s="9">
        <v>1196000</v>
      </c>
      <c r="E50" s="9">
        <v>1281000</v>
      </c>
      <c r="F50" s="9">
        <v>1274000</v>
      </c>
      <c r="G50" s="9">
        <v>1427000</v>
      </c>
      <c r="H50" s="9">
        <v>1487000</v>
      </c>
    </row>
    <row r="51" spans="1:8" ht="12.45" customHeight="1">
      <c r="A51" s="130" t="s">
        <v>175</v>
      </c>
      <c r="B51" s="105">
        <v>4313000</v>
      </c>
      <c r="C51" s="9">
        <v>5665000</v>
      </c>
      <c r="D51" s="9">
        <v>6041000</v>
      </c>
      <c r="E51" s="9">
        <v>6511000</v>
      </c>
      <c r="F51" s="9">
        <v>6642000</v>
      </c>
      <c r="G51" s="9">
        <v>7092000</v>
      </c>
      <c r="H51" s="9">
        <v>7592000</v>
      </c>
    </row>
    <row r="52" spans="1:8" ht="12.45" customHeight="1">
      <c r="A52" s="130" t="s">
        <v>176</v>
      </c>
      <c r="B52" s="105">
        <v>20358000</v>
      </c>
      <c r="C52" s="9">
        <v>25061000</v>
      </c>
      <c r="D52" s="9">
        <v>26857000</v>
      </c>
      <c r="E52" s="9">
        <v>27574000</v>
      </c>
      <c r="F52" s="9">
        <v>28684000</v>
      </c>
      <c r="G52" s="9">
        <v>29556000</v>
      </c>
      <c r="H52" s="9">
        <v>29228000</v>
      </c>
    </row>
    <row r="53" spans="1:8" ht="12.45" customHeight="1">
      <c r="A53" s="120" t="s">
        <v>218</v>
      </c>
      <c r="B53" s="124">
        <v>17947000</v>
      </c>
      <c r="C53" s="119">
        <v>22060000</v>
      </c>
      <c r="D53" s="119">
        <v>23995000</v>
      </c>
      <c r="E53" s="119">
        <v>24437000</v>
      </c>
      <c r="F53" s="119">
        <v>25667000</v>
      </c>
      <c r="G53" s="119">
        <v>26701000</v>
      </c>
      <c r="H53" s="119">
        <v>26652000</v>
      </c>
    </row>
  </sheetData>
  <mergeCells count="1">
    <mergeCell ref="A1:I1"/>
  </mergeCells>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FE2F8-976E-4ECC-B6EC-E21909915E52}">
  <dimension ref="A1:W78"/>
  <sheetViews>
    <sheetView topLeftCell="N1" workbookViewId="0">
      <selection activeCell="W8" sqref="W8"/>
    </sheetView>
  </sheetViews>
  <sheetFormatPr defaultRowHeight="13.2"/>
  <cols>
    <col min="2" max="2" width="11" bestFit="1" customWidth="1"/>
    <col min="3" max="6" width="9" bestFit="1" customWidth="1"/>
    <col min="7" max="7" width="9.6640625" bestFit="1" customWidth="1"/>
    <col min="14" max="14" width="18.109375" customWidth="1"/>
    <col min="15" max="15" width="12.33203125" bestFit="1" customWidth="1"/>
    <col min="16" max="17" width="10.44140625" bestFit="1" customWidth="1"/>
    <col min="18" max="18" width="11.44140625" bestFit="1" customWidth="1"/>
    <col min="19" max="19" width="10.44140625" bestFit="1" customWidth="1"/>
    <col min="20" max="20" width="11.109375" customWidth="1"/>
    <col min="21" max="21" width="10.77734375" bestFit="1" customWidth="1"/>
    <col min="22" max="23" width="10.44140625" bestFit="1" customWidth="1"/>
  </cols>
  <sheetData>
    <row r="1" spans="1:23" ht="14.4">
      <c r="A1" s="424" t="s">
        <v>682</v>
      </c>
      <c r="B1" s="423"/>
      <c r="C1" s="423"/>
      <c r="D1" s="423"/>
      <c r="E1" s="423"/>
      <c r="F1" s="423"/>
      <c r="G1" s="423"/>
    </row>
    <row r="2" spans="1:23" ht="14.4">
      <c r="A2" s="246" t="s">
        <v>683</v>
      </c>
      <c r="B2" s="246"/>
      <c r="C2" s="246"/>
      <c r="D2" s="246"/>
      <c r="E2" s="246"/>
      <c r="F2" s="246"/>
      <c r="G2" s="246"/>
    </row>
    <row r="3" spans="1:23" ht="13.2" customHeight="1">
      <c r="A3" s="425" t="s">
        <v>684</v>
      </c>
      <c r="B3" s="426" t="s">
        <v>685</v>
      </c>
      <c r="C3" s="426" t="s">
        <v>686</v>
      </c>
      <c r="D3" s="427"/>
      <c r="E3" s="427"/>
      <c r="F3" s="427"/>
      <c r="G3" s="427"/>
      <c r="N3" s="425" t="s">
        <v>684</v>
      </c>
      <c r="O3" s="426" t="s">
        <v>685</v>
      </c>
      <c r="P3" s="426" t="s">
        <v>687</v>
      </c>
      <c r="Q3" s="427"/>
      <c r="R3" s="427"/>
      <c r="S3" s="427"/>
      <c r="T3" s="427"/>
    </row>
    <row r="4" spans="1:23" ht="14.7" customHeight="1">
      <c r="A4" s="423"/>
      <c r="B4" s="427"/>
      <c r="C4" s="426" t="s">
        <v>78</v>
      </c>
      <c r="D4" s="426" t="s">
        <v>688</v>
      </c>
      <c r="E4" s="427"/>
      <c r="F4" s="427"/>
      <c r="G4" s="426" t="s">
        <v>689</v>
      </c>
      <c r="N4" s="423"/>
      <c r="O4" s="427"/>
      <c r="P4" s="426" t="s">
        <v>78</v>
      </c>
      <c r="Q4" s="426" t="s">
        <v>688</v>
      </c>
      <c r="R4" s="427"/>
      <c r="S4" s="427"/>
      <c r="T4" s="426" t="s">
        <v>689</v>
      </c>
    </row>
    <row r="5" spans="1:23" ht="72.45" customHeight="1">
      <c r="A5" s="423"/>
      <c r="B5" s="427"/>
      <c r="C5" s="427"/>
      <c r="D5" s="247" t="s">
        <v>78</v>
      </c>
      <c r="E5" s="247" t="s">
        <v>690</v>
      </c>
      <c r="F5" s="247" t="s">
        <v>691</v>
      </c>
      <c r="G5" s="427"/>
      <c r="M5" s="262"/>
      <c r="N5" s="423"/>
      <c r="O5" s="427"/>
      <c r="P5" s="427"/>
      <c r="Q5" s="247" t="s">
        <v>78</v>
      </c>
      <c r="R5" s="247" t="s">
        <v>690</v>
      </c>
      <c r="S5" s="247" t="s">
        <v>691</v>
      </c>
      <c r="T5" s="427"/>
      <c r="U5" s="242" t="s">
        <v>692</v>
      </c>
      <c r="V5" s="242" t="s">
        <v>693</v>
      </c>
      <c r="W5" s="242" t="s">
        <v>694</v>
      </c>
    </row>
    <row r="6" spans="1:23" ht="14.7" customHeight="1">
      <c r="A6" s="246" t="s">
        <v>683</v>
      </c>
      <c r="B6" s="246"/>
      <c r="C6" s="246"/>
      <c r="D6" s="246"/>
      <c r="E6" s="246"/>
      <c r="F6" s="246"/>
      <c r="G6" s="246"/>
      <c r="M6" s="246"/>
      <c r="N6" s="246" t="s">
        <v>683</v>
      </c>
    </row>
    <row r="7" spans="1:23" ht="28.8">
      <c r="A7" s="249" t="s">
        <v>695</v>
      </c>
      <c r="B7" s="248"/>
      <c r="C7" s="248"/>
      <c r="D7" s="248"/>
      <c r="E7" s="248"/>
      <c r="F7" s="248"/>
      <c r="G7" s="248"/>
      <c r="M7" s="246"/>
      <c r="N7" s="249" t="s">
        <v>695</v>
      </c>
    </row>
    <row r="8" spans="1:23" ht="43.2">
      <c r="A8" s="249" t="s">
        <v>696</v>
      </c>
      <c r="B8" s="259">
        <v>114316</v>
      </c>
      <c r="C8" s="259">
        <v>998</v>
      </c>
      <c r="D8" s="259">
        <v>1229</v>
      </c>
      <c r="E8" s="259">
        <v>1288</v>
      </c>
      <c r="F8" s="259">
        <v>1223</v>
      </c>
      <c r="G8" s="259">
        <v>931</v>
      </c>
      <c r="N8" s="249" t="s">
        <v>696</v>
      </c>
      <c r="O8" s="263">
        <f t="shared" ref="O8:O16" si="0">B8*52</f>
        <v>5944432</v>
      </c>
      <c r="P8" s="263">
        <f>C8*52</f>
        <v>51896</v>
      </c>
      <c r="Q8" s="263">
        <f>-D8*52</f>
        <v>-63908</v>
      </c>
      <c r="R8" s="263">
        <f>-E8*52</f>
        <v>-66976</v>
      </c>
      <c r="S8" s="263">
        <f>-F8*52</f>
        <v>-63596</v>
      </c>
      <c r="T8" s="263">
        <f>(G8*52)</f>
        <v>48412</v>
      </c>
      <c r="U8" s="263">
        <f>R8+T8</f>
        <v>-18564</v>
      </c>
      <c r="V8" s="263">
        <f>S8+T8</f>
        <v>-15184</v>
      </c>
      <c r="W8" s="263">
        <f>Q8+T8</f>
        <v>-15496</v>
      </c>
    </row>
    <row r="9" spans="1:23" ht="43.2">
      <c r="A9" s="250" t="s">
        <v>697</v>
      </c>
      <c r="B9" s="259">
        <v>10392</v>
      </c>
      <c r="C9" s="259">
        <v>623</v>
      </c>
      <c r="D9" s="259">
        <v>734</v>
      </c>
      <c r="E9" s="259">
        <v>740</v>
      </c>
      <c r="F9" s="259">
        <v>733</v>
      </c>
      <c r="G9" s="259">
        <v>615</v>
      </c>
      <c r="N9" s="250" t="s">
        <v>697</v>
      </c>
      <c r="O9" s="263">
        <f t="shared" si="0"/>
        <v>540384</v>
      </c>
      <c r="P9" s="263">
        <f t="shared" ref="P9:P71" si="1">C9*52</f>
        <v>32396</v>
      </c>
      <c r="Q9" s="263">
        <f t="shared" ref="Q9:Q71" si="2">-D9*52</f>
        <v>-38168</v>
      </c>
      <c r="R9" s="263">
        <f t="shared" ref="R9:R71" si="3">-E9*52</f>
        <v>-38480</v>
      </c>
      <c r="S9" s="263">
        <f t="shared" ref="S9:S71" si="4">-F9*52</f>
        <v>-38116</v>
      </c>
      <c r="T9" s="263">
        <f>(G9*52)</f>
        <v>31980</v>
      </c>
      <c r="U9" s="263">
        <f t="shared" ref="U9:U71" si="5">R9+T9</f>
        <v>-6500</v>
      </c>
      <c r="V9" s="263">
        <f t="shared" ref="V9:V71" si="6">S9+T9</f>
        <v>-6136</v>
      </c>
      <c r="W9" s="263">
        <f t="shared" ref="W9:W71" si="7">Q9+T9</f>
        <v>-6188</v>
      </c>
    </row>
    <row r="10" spans="1:23" ht="43.2">
      <c r="A10" s="250" t="s">
        <v>698</v>
      </c>
      <c r="B10" s="259">
        <v>79463</v>
      </c>
      <c r="C10" s="259">
        <v>1045</v>
      </c>
      <c r="D10" s="259">
        <v>1239</v>
      </c>
      <c r="E10" s="259">
        <v>1309</v>
      </c>
      <c r="F10" s="259">
        <v>1233</v>
      </c>
      <c r="G10" s="259">
        <v>979</v>
      </c>
      <c r="N10" s="250" t="s">
        <v>698</v>
      </c>
      <c r="O10" s="263">
        <f t="shared" si="0"/>
        <v>4132076</v>
      </c>
      <c r="P10" s="263">
        <f t="shared" si="1"/>
        <v>54340</v>
      </c>
      <c r="Q10" s="263">
        <f t="shared" si="2"/>
        <v>-64428</v>
      </c>
      <c r="R10" s="263">
        <f t="shared" si="3"/>
        <v>-68068</v>
      </c>
      <c r="S10" s="263">
        <f t="shared" si="4"/>
        <v>-64116</v>
      </c>
      <c r="T10" s="263">
        <f t="shared" ref="T10:T71" si="8">(G10*52)</f>
        <v>50908</v>
      </c>
      <c r="U10" s="263">
        <f t="shared" si="5"/>
        <v>-17160</v>
      </c>
      <c r="V10" s="263">
        <f t="shared" si="6"/>
        <v>-13208</v>
      </c>
      <c r="W10" s="263">
        <f t="shared" si="7"/>
        <v>-13520</v>
      </c>
    </row>
    <row r="11" spans="1:23" ht="43.2">
      <c r="A11" s="251" t="s">
        <v>699</v>
      </c>
      <c r="B11" s="259">
        <v>28697</v>
      </c>
      <c r="C11" s="259">
        <v>931</v>
      </c>
      <c r="D11" s="259">
        <v>1065</v>
      </c>
      <c r="E11" s="259">
        <v>1083</v>
      </c>
      <c r="F11" s="259">
        <v>1064</v>
      </c>
      <c r="G11" s="259">
        <v>892</v>
      </c>
      <c r="N11" s="251" t="s">
        <v>699</v>
      </c>
      <c r="O11" s="263">
        <f t="shared" si="0"/>
        <v>1492244</v>
      </c>
      <c r="P11" s="263">
        <f t="shared" si="1"/>
        <v>48412</v>
      </c>
      <c r="Q11" s="263">
        <f t="shared" si="2"/>
        <v>-55380</v>
      </c>
      <c r="R11" s="263">
        <f t="shared" si="3"/>
        <v>-56316</v>
      </c>
      <c r="S11" s="263">
        <f t="shared" si="4"/>
        <v>-55328</v>
      </c>
      <c r="T11" s="263">
        <f t="shared" si="8"/>
        <v>46384</v>
      </c>
      <c r="U11" s="263">
        <f t="shared" si="5"/>
        <v>-9932</v>
      </c>
      <c r="V11" s="263">
        <f t="shared" si="6"/>
        <v>-8944</v>
      </c>
      <c r="W11" s="263">
        <f t="shared" si="7"/>
        <v>-8996</v>
      </c>
    </row>
    <row r="12" spans="1:23" ht="43.2">
      <c r="A12" s="251" t="s">
        <v>700</v>
      </c>
      <c r="B12" s="259">
        <v>26449</v>
      </c>
      <c r="C12" s="259">
        <v>1131</v>
      </c>
      <c r="D12" s="259">
        <v>1339</v>
      </c>
      <c r="E12" s="259">
        <v>1407</v>
      </c>
      <c r="F12" s="259">
        <v>1331</v>
      </c>
      <c r="G12" s="259">
        <v>1040</v>
      </c>
      <c r="N12" s="251" t="s">
        <v>700</v>
      </c>
      <c r="O12" s="263">
        <f t="shared" si="0"/>
        <v>1375348</v>
      </c>
      <c r="P12" s="263">
        <f t="shared" si="1"/>
        <v>58812</v>
      </c>
      <c r="Q12" s="263">
        <f t="shared" si="2"/>
        <v>-69628</v>
      </c>
      <c r="R12" s="263">
        <f t="shared" si="3"/>
        <v>-73164</v>
      </c>
      <c r="S12" s="263">
        <f t="shared" si="4"/>
        <v>-69212</v>
      </c>
      <c r="T12" s="263">
        <f t="shared" si="8"/>
        <v>54080</v>
      </c>
      <c r="U12" s="263">
        <f t="shared" si="5"/>
        <v>-19084</v>
      </c>
      <c r="V12" s="263">
        <f t="shared" si="6"/>
        <v>-15132</v>
      </c>
      <c r="W12" s="263">
        <f t="shared" si="7"/>
        <v>-15548</v>
      </c>
    </row>
    <row r="13" spans="1:23" ht="43.2">
      <c r="A13" s="251" t="s">
        <v>701</v>
      </c>
      <c r="B13" s="259">
        <v>24317</v>
      </c>
      <c r="C13" s="259">
        <v>1154</v>
      </c>
      <c r="D13" s="259">
        <v>1374</v>
      </c>
      <c r="E13" s="259">
        <v>1490</v>
      </c>
      <c r="F13" s="259">
        <v>1364</v>
      </c>
      <c r="G13" s="259">
        <v>1066</v>
      </c>
      <c r="N13" s="251" t="s">
        <v>701</v>
      </c>
      <c r="O13" s="263">
        <f t="shared" si="0"/>
        <v>1264484</v>
      </c>
      <c r="P13" s="263">
        <f t="shared" si="1"/>
        <v>60008</v>
      </c>
      <c r="Q13" s="263">
        <f t="shared" si="2"/>
        <v>-71448</v>
      </c>
      <c r="R13" s="263">
        <f t="shared" si="3"/>
        <v>-77480</v>
      </c>
      <c r="S13" s="263">
        <f t="shared" si="4"/>
        <v>-70928</v>
      </c>
      <c r="T13" s="263">
        <f t="shared" si="8"/>
        <v>55432</v>
      </c>
      <c r="U13" s="263">
        <f t="shared" si="5"/>
        <v>-22048</v>
      </c>
      <c r="V13" s="263">
        <f t="shared" si="6"/>
        <v>-15496</v>
      </c>
      <c r="W13" s="263">
        <f t="shared" si="7"/>
        <v>-16016</v>
      </c>
    </row>
    <row r="14" spans="1:23" ht="57.6">
      <c r="A14" s="250" t="s">
        <v>702</v>
      </c>
      <c r="B14" s="259">
        <v>24461</v>
      </c>
      <c r="C14" s="259">
        <v>1102</v>
      </c>
      <c r="D14" s="259">
        <v>1346</v>
      </c>
      <c r="E14" s="259">
        <v>1407</v>
      </c>
      <c r="F14" s="259">
        <v>1340</v>
      </c>
      <c r="G14" s="259">
        <v>1012</v>
      </c>
      <c r="N14" s="250" t="s">
        <v>702</v>
      </c>
      <c r="O14" s="263">
        <f t="shared" si="0"/>
        <v>1271972</v>
      </c>
      <c r="P14" s="263">
        <f t="shared" si="1"/>
        <v>57304</v>
      </c>
      <c r="Q14" s="263">
        <f t="shared" si="2"/>
        <v>-69992</v>
      </c>
      <c r="R14" s="263">
        <f t="shared" si="3"/>
        <v>-73164</v>
      </c>
      <c r="S14" s="263">
        <f t="shared" si="4"/>
        <v>-69680</v>
      </c>
      <c r="T14" s="263">
        <f t="shared" si="8"/>
        <v>52624</v>
      </c>
      <c r="U14" s="263">
        <f t="shared" si="5"/>
        <v>-20540</v>
      </c>
      <c r="V14" s="263">
        <f t="shared" si="6"/>
        <v>-17056</v>
      </c>
      <c r="W14" s="263">
        <f t="shared" si="7"/>
        <v>-17368</v>
      </c>
    </row>
    <row r="15" spans="1:23" ht="43.2">
      <c r="A15" s="251" t="s">
        <v>703</v>
      </c>
      <c r="B15" s="259">
        <v>19292</v>
      </c>
      <c r="C15" s="259">
        <v>1132</v>
      </c>
      <c r="D15" s="259">
        <v>1363</v>
      </c>
      <c r="E15" s="259">
        <v>1419</v>
      </c>
      <c r="F15" s="259">
        <v>1358</v>
      </c>
      <c r="G15" s="259">
        <v>1037</v>
      </c>
      <c r="N15" s="251" t="s">
        <v>703</v>
      </c>
      <c r="O15" s="263">
        <f t="shared" si="0"/>
        <v>1003184</v>
      </c>
      <c r="P15" s="263">
        <f t="shared" si="1"/>
        <v>58864</v>
      </c>
      <c r="Q15" s="263">
        <f t="shared" si="2"/>
        <v>-70876</v>
      </c>
      <c r="R15" s="263">
        <f t="shared" si="3"/>
        <v>-73788</v>
      </c>
      <c r="S15" s="263">
        <f t="shared" si="4"/>
        <v>-70616</v>
      </c>
      <c r="T15" s="263">
        <f t="shared" si="8"/>
        <v>53924</v>
      </c>
      <c r="U15" s="263">
        <f t="shared" si="5"/>
        <v>-19864</v>
      </c>
      <c r="V15" s="263">
        <f t="shared" si="6"/>
        <v>-16692</v>
      </c>
      <c r="W15" s="263">
        <f t="shared" si="7"/>
        <v>-16952</v>
      </c>
    </row>
    <row r="16" spans="1:23" ht="57.6">
      <c r="A16" s="251" t="s">
        <v>704</v>
      </c>
      <c r="B16" s="259">
        <v>5169</v>
      </c>
      <c r="C16" s="259">
        <v>994</v>
      </c>
      <c r="D16" s="259">
        <v>1248</v>
      </c>
      <c r="E16" s="259">
        <v>1338</v>
      </c>
      <c r="F16" s="259">
        <v>1241</v>
      </c>
      <c r="G16" s="259">
        <v>938</v>
      </c>
      <c r="N16" s="251" t="s">
        <v>704</v>
      </c>
      <c r="O16" s="263">
        <f t="shared" si="0"/>
        <v>268788</v>
      </c>
      <c r="P16" s="263">
        <f t="shared" si="1"/>
        <v>51688</v>
      </c>
      <c r="Q16" s="263">
        <f t="shared" si="2"/>
        <v>-64896</v>
      </c>
      <c r="R16" s="263">
        <f t="shared" si="3"/>
        <v>-69576</v>
      </c>
      <c r="S16" s="263">
        <f t="shared" si="4"/>
        <v>-64532</v>
      </c>
      <c r="T16" s="263">
        <f t="shared" si="8"/>
        <v>48776</v>
      </c>
      <c r="U16" s="263">
        <f t="shared" si="5"/>
        <v>-20800</v>
      </c>
      <c r="V16" s="263">
        <f t="shared" si="6"/>
        <v>-15756</v>
      </c>
      <c r="W16" s="263">
        <f t="shared" si="7"/>
        <v>-16120</v>
      </c>
    </row>
    <row r="17" spans="1:23" ht="14.4">
      <c r="A17" s="246"/>
      <c r="B17" s="260"/>
      <c r="C17" s="260"/>
      <c r="D17" s="260"/>
      <c r="E17" s="260"/>
      <c r="F17" s="260"/>
      <c r="G17" s="260"/>
      <c r="N17" s="246"/>
      <c r="P17" s="263">
        <f t="shared" si="1"/>
        <v>0</v>
      </c>
      <c r="Q17" s="263">
        <f t="shared" si="2"/>
        <v>0</v>
      </c>
      <c r="R17" s="263">
        <f t="shared" si="3"/>
        <v>0</v>
      </c>
      <c r="S17" s="263">
        <f t="shared" si="4"/>
        <v>0</v>
      </c>
      <c r="T17" s="263">
        <f t="shared" si="8"/>
        <v>0</v>
      </c>
    </row>
    <row r="18" spans="1:23" ht="43.2">
      <c r="A18" s="249" t="s">
        <v>705</v>
      </c>
      <c r="B18" s="259">
        <v>62928</v>
      </c>
      <c r="C18" s="259">
        <v>1097</v>
      </c>
      <c r="D18" s="259">
        <v>1357</v>
      </c>
      <c r="E18" s="259">
        <v>1400</v>
      </c>
      <c r="F18" s="259">
        <v>1352</v>
      </c>
      <c r="G18" s="259">
        <v>1017</v>
      </c>
      <c r="N18" s="249" t="s">
        <v>705</v>
      </c>
      <c r="O18" s="263">
        <f t="shared" ref="O18:O21" si="9">B18*52</f>
        <v>3272256</v>
      </c>
      <c r="P18" s="263">
        <f t="shared" si="1"/>
        <v>57044</v>
      </c>
      <c r="Q18" s="263">
        <f t="shared" si="2"/>
        <v>-70564</v>
      </c>
      <c r="R18" s="263">
        <f t="shared" si="3"/>
        <v>-72800</v>
      </c>
      <c r="S18" s="263">
        <f t="shared" si="4"/>
        <v>-70304</v>
      </c>
      <c r="T18" s="263">
        <f t="shared" si="8"/>
        <v>52884</v>
      </c>
      <c r="U18" s="263">
        <f t="shared" si="5"/>
        <v>-19916</v>
      </c>
      <c r="V18" s="263">
        <f t="shared" si="6"/>
        <v>-17420</v>
      </c>
      <c r="W18" s="263">
        <f t="shared" si="7"/>
        <v>-17680</v>
      </c>
    </row>
    <row r="19" spans="1:23" ht="43.2">
      <c r="A19" s="250" t="s">
        <v>697</v>
      </c>
      <c r="B19" s="259">
        <v>5737</v>
      </c>
      <c r="C19" s="259">
        <v>650</v>
      </c>
      <c r="D19" s="259">
        <v>787</v>
      </c>
      <c r="E19" s="259">
        <v>772</v>
      </c>
      <c r="F19" s="259">
        <v>792</v>
      </c>
      <c r="G19" s="259">
        <v>636</v>
      </c>
      <c r="N19" s="250" t="s">
        <v>697</v>
      </c>
      <c r="O19" s="263">
        <f t="shared" si="9"/>
        <v>298324</v>
      </c>
      <c r="P19" s="263">
        <f t="shared" si="1"/>
        <v>33800</v>
      </c>
      <c r="Q19" s="263">
        <f t="shared" si="2"/>
        <v>-40924</v>
      </c>
      <c r="R19" s="263">
        <f t="shared" si="3"/>
        <v>-40144</v>
      </c>
      <c r="S19" s="263">
        <f t="shared" si="4"/>
        <v>-41184</v>
      </c>
      <c r="T19" s="263">
        <f t="shared" si="8"/>
        <v>33072</v>
      </c>
      <c r="U19" s="263">
        <f t="shared" si="5"/>
        <v>-7072</v>
      </c>
      <c r="V19" s="263">
        <f t="shared" si="6"/>
        <v>-8112</v>
      </c>
      <c r="W19" s="263">
        <f t="shared" si="7"/>
        <v>-7852</v>
      </c>
    </row>
    <row r="20" spans="1:23" ht="43.2">
      <c r="A20" s="250" t="s">
        <v>698</v>
      </c>
      <c r="B20" s="259">
        <v>43792</v>
      </c>
      <c r="C20" s="259">
        <v>1144</v>
      </c>
      <c r="D20" s="259">
        <v>1372</v>
      </c>
      <c r="E20" s="259">
        <v>1452</v>
      </c>
      <c r="F20" s="259">
        <v>1363</v>
      </c>
      <c r="G20" s="259">
        <v>1076</v>
      </c>
      <c r="N20" s="250" t="s">
        <v>698</v>
      </c>
      <c r="O20" s="263">
        <f t="shared" si="9"/>
        <v>2277184</v>
      </c>
      <c r="P20" s="263">
        <f t="shared" si="1"/>
        <v>59488</v>
      </c>
      <c r="Q20" s="263">
        <f t="shared" si="2"/>
        <v>-71344</v>
      </c>
      <c r="R20" s="263">
        <f t="shared" si="3"/>
        <v>-75504</v>
      </c>
      <c r="S20" s="263">
        <f t="shared" si="4"/>
        <v>-70876</v>
      </c>
      <c r="T20" s="263">
        <f t="shared" si="8"/>
        <v>55952</v>
      </c>
      <c r="U20" s="263">
        <f t="shared" si="5"/>
        <v>-19552</v>
      </c>
      <c r="V20" s="263">
        <f t="shared" si="6"/>
        <v>-14924</v>
      </c>
      <c r="W20" s="263">
        <f t="shared" si="7"/>
        <v>-15392</v>
      </c>
    </row>
    <row r="21" spans="1:23" ht="57.6">
      <c r="A21" s="250" t="s">
        <v>702</v>
      </c>
      <c r="B21" s="259">
        <v>13399</v>
      </c>
      <c r="C21" s="259">
        <v>1226</v>
      </c>
      <c r="D21" s="259">
        <v>1453</v>
      </c>
      <c r="E21" s="259">
        <v>1465</v>
      </c>
      <c r="F21" s="259">
        <v>1452</v>
      </c>
      <c r="G21" s="259">
        <v>1157</v>
      </c>
      <c r="N21" s="250" t="s">
        <v>702</v>
      </c>
      <c r="O21" s="263">
        <f t="shared" si="9"/>
        <v>696748</v>
      </c>
      <c r="P21" s="263">
        <f t="shared" si="1"/>
        <v>63752</v>
      </c>
      <c r="Q21" s="263">
        <f t="shared" si="2"/>
        <v>-75556</v>
      </c>
      <c r="R21" s="263">
        <f t="shared" si="3"/>
        <v>-76180</v>
      </c>
      <c r="S21" s="263">
        <f t="shared" si="4"/>
        <v>-75504</v>
      </c>
      <c r="T21" s="263">
        <f t="shared" si="8"/>
        <v>60164</v>
      </c>
      <c r="U21" s="263">
        <f t="shared" si="5"/>
        <v>-16016</v>
      </c>
      <c r="V21" s="263">
        <f t="shared" si="6"/>
        <v>-15340</v>
      </c>
      <c r="W21" s="263">
        <f t="shared" si="7"/>
        <v>-15392</v>
      </c>
    </row>
    <row r="22" spans="1:23" ht="14.4">
      <c r="A22" s="246"/>
      <c r="B22" s="260"/>
      <c r="C22" s="260"/>
      <c r="D22" s="260"/>
      <c r="E22" s="260"/>
      <c r="F22" s="260"/>
      <c r="G22" s="260"/>
      <c r="N22" s="246"/>
      <c r="P22" s="263">
        <f t="shared" si="1"/>
        <v>0</v>
      </c>
      <c r="Q22" s="263">
        <f t="shared" si="2"/>
        <v>0</v>
      </c>
      <c r="R22" s="263">
        <f t="shared" si="3"/>
        <v>0</v>
      </c>
      <c r="S22" s="263">
        <f t="shared" si="4"/>
        <v>0</v>
      </c>
      <c r="T22" s="263">
        <f t="shared" si="8"/>
        <v>0</v>
      </c>
    </row>
    <row r="23" spans="1:23" ht="43.2">
      <c r="A23" s="249" t="s">
        <v>706</v>
      </c>
      <c r="B23" s="259">
        <v>51388</v>
      </c>
      <c r="C23" s="259">
        <v>912</v>
      </c>
      <c r="D23" s="259">
        <v>1135</v>
      </c>
      <c r="E23" s="259">
        <v>1150</v>
      </c>
      <c r="F23" s="259">
        <v>1134</v>
      </c>
      <c r="G23" s="259">
        <v>829</v>
      </c>
      <c r="N23" s="249" t="s">
        <v>706</v>
      </c>
      <c r="O23" s="263">
        <f t="shared" ref="O23:O26" si="10">B23*52</f>
        <v>2672176</v>
      </c>
      <c r="P23" s="263">
        <f t="shared" si="1"/>
        <v>47424</v>
      </c>
      <c r="Q23" s="263">
        <f t="shared" si="2"/>
        <v>-59020</v>
      </c>
      <c r="R23" s="263">
        <f t="shared" si="3"/>
        <v>-59800</v>
      </c>
      <c r="S23" s="263">
        <f t="shared" si="4"/>
        <v>-58968</v>
      </c>
      <c r="T23" s="263">
        <f t="shared" si="8"/>
        <v>43108</v>
      </c>
      <c r="U23" s="263">
        <f t="shared" si="5"/>
        <v>-16692</v>
      </c>
      <c r="V23" s="263">
        <f t="shared" si="6"/>
        <v>-15860</v>
      </c>
      <c r="W23" s="263">
        <f t="shared" si="7"/>
        <v>-15912</v>
      </c>
    </row>
    <row r="24" spans="1:23" ht="43.2">
      <c r="A24" s="250" t="s">
        <v>697</v>
      </c>
      <c r="B24" s="259">
        <v>4655</v>
      </c>
      <c r="C24" s="259">
        <v>605</v>
      </c>
      <c r="D24" s="259">
        <v>698</v>
      </c>
      <c r="E24" s="259" t="s">
        <v>707</v>
      </c>
      <c r="F24" s="259">
        <v>701</v>
      </c>
      <c r="G24" s="259">
        <v>593</v>
      </c>
      <c r="N24" s="250" t="s">
        <v>697</v>
      </c>
      <c r="O24" s="263">
        <f t="shared" si="10"/>
        <v>242060</v>
      </c>
      <c r="P24" s="263">
        <f t="shared" si="1"/>
        <v>31460</v>
      </c>
      <c r="Q24" s="263">
        <f t="shared" si="2"/>
        <v>-36296</v>
      </c>
      <c r="R24" s="263" t="e">
        <f t="shared" si="3"/>
        <v>#VALUE!</v>
      </c>
      <c r="S24" s="263">
        <f t="shared" si="4"/>
        <v>-36452</v>
      </c>
      <c r="T24" s="263">
        <f t="shared" si="8"/>
        <v>30836</v>
      </c>
      <c r="U24" s="263" t="e">
        <f t="shared" si="5"/>
        <v>#VALUE!</v>
      </c>
      <c r="V24" s="263">
        <f t="shared" si="6"/>
        <v>-5616</v>
      </c>
      <c r="W24" s="263">
        <f t="shared" si="7"/>
        <v>-5460</v>
      </c>
    </row>
    <row r="25" spans="1:23" ht="43.2">
      <c r="A25" s="250" t="s">
        <v>698</v>
      </c>
      <c r="B25" s="259">
        <v>35671</v>
      </c>
      <c r="C25" s="259">
        <v>954</v>
      </c>
      <c r="D25" s="259">
        <v>1147</v>
      </c>
      <c r="E25" s="259">
        <v>1152</v>
      </c>
      <c r="F25" s="259">
        <v>1146</v>
      </c>
      <c r="G25" s="259">
        <v>877</v>
      </c>
      <c r="N25" s="250" t="s">
        <v>698</v>
      </c>
      <c r="O25" s="263">
        <f t="shared" si="10"/>
        <v>1854892</v>
      </c>
      <c r="P25" s="263">
        <f t="shared" si="1"/>
        <v>49608</v>
      </c>
      <c r="Q25" s="263">
        <f t="shared" si="2"/>
        <v>-59644</v>
      </c>
      <c r="R25" s="263">
        <f t="shared" si="3"/>
        <v>-59904</v>
      </c>
      <c r="S25" s="263">
        <f t="shared" si="4"/>
        <v>-59592</v>
      </c>
      <c r="T25" s="263">
        <f t="shared" si="8"/>
        <v>45604</v>
      </c>
      <c r="U25" s="263">
        <f t="shared" si="5"/>
        <v>-14300</v>
      </c>
      <c r="V25" s="263">
        <f t="shared" si="6"/>
        <v>-13988</v>
      </c>
      <c r="W25" s="263">
        <f t="shared" si="7"/>
        <v>-14040</v>
      </c>
    </row>
    <row r="26" spans="1:23" ht="57.6">
      <c r="A26" s="250" t="s">
        <v>702</v>
      </c>
      <c r="B26" s="259">
        <v>11062</v>
      </c>
      <c r="C26" s="259">
        <v>956</v>
      </c>
      <c r="D26" s="259">
        <v>1235</v>
      </c>
      <c r="E26" s="259">
        <v>1315</v>
      </c>
      <c r="F26" s="259">
        <v>1230</v>
      </c>
      <c r="G26" s="259">
        <v>873</v>
      </c>
      <c r="N26" s="250" t="s">
        <v>702</v>
      </c>
      <c r="O26" s="263">
        <f t="shared" si="10"/>
        <v>575224</v>
      </c>
      <c r="P26" s="263">
        <f t="shared" si="1"/>
        <v>49712</v>
      </c>
      <c r="Q26" s="263">
        <f t="shared" si="2"/>
        <v>-64220</v>
      </c>
      <c r="R26" s="263">
        <f t="shared" si="3"/>
        <v>-68380</v>
      </c>
      <c r="S26" s="263">
        <f t="shared" si="4"/>
        <v>-63960</v>
      </c>
      <c r="T26" s="263">
        <f t="shared" si="8"/>
        <v>45396</v>
      </c>
      <c r="U26" s="263">
        <f t="shared" si="5"/>
        <v>-22984</v>
      </c>
      <c r="V26" s="263">
        <f t="shared" si="6"/>
        <v>-18564</v>
      </c>
      <c r="W26" s="263">
        <f t="shared" si="7"/>
        <v>-18824</v>
      </c>
    </row>
    <row r="27" spans="1:23" ht="14.4">
      <c r="A27" s="246"/>
      <c r="B27" s="260"/>
      <c r="C27" s="260"/>
      <c r="D27" s="260"/>
      <c r="E27" s="260"/>
      <c r="F27" s="260"/>
      <c r="G27" s="260"/>
      <c r="N27" s="246"/>
      <c r="P27" s="263">
        <f t="shared" si="1"/>
        <v>0</v>
      </c>
      <c r="Q27" s="263">
        <f t="shared" si="2"/>
        <v>0</v>
      </c>
      <c r="R27" s="263">
        <f t="shared" si="3"/>
        <v>0</v>
      </c>
      <c r="S27" s="263">
        <f t="shared" si="4"/>
        <v>0</v>
      </c>
      <c r="T27" s="263">
        <f t="shared" si="8"/>
        <v>0</v>
      </c>
    </row>
    <row r="28" spans="1:23" ht="57.6">
      <c r="A28" s="249" t="s">
        <v>708</v>
      </c>
      <c r="B28" s="260"/>
      <c r="C28" s="260"/>
      <c r="D28" s="260"/>
      <c r="E28" s="260"/>
      <c r="F28" s="260"/>
      <c r="G28" s="260"/>
      <c r="N28" s="249" t="s">
        <v>708</v>
      </c>
      <c r="P28" s="263">
        <f t="shared" si="1"/>
        <v>0</v>
      </c>
      <c r="Q28" s="263">
        <f t="shared" si="2"/>
        <v>0</v>
      </c>
      <c r="R28" s="263">
        <f t="shared" si="3"/>
        <v>0</v>
      </c>
      <c r="S28" s="263">
        <f t="shared" si="4"/>
        <v>0</v>
      </c>
      <c r="T28" s="263">
        <f t="shared" si="8"/>
        <v>0</v>
      </c>
    </row>
    <row r="29" spans="1:23" ht="43.2">
      <c r="A29" s="249" t="s">
        <v>709</v>
      </c>
      <c r="B29" s="259">
        <v>87738</v>
      </c>
      <c r="C29" s="259">
        <v>1018</v>
      </c>
      <c r="D29" s="259">
        <v>1250</v>
      </c>
      <c r="E29" s="259">
        <v>1297</v>
      </c>
      <c r="F29" s="259">
        <v>1246</v>
      </c>
      <c r="G29" s="259">
        <v>949</v>
      </c>
      <c r="N29" s="249" t="s">
        <v>709</v>
      </c>
      <c r="O29" s="263">
        <f t="shared" ref="O29:O40" si="11">B29*52</f>
        <v>4562376</v>
      </c>
      <c r="P29" s="263">
        <f t="shared" si="1"/>
        <v>52936</v>
      </c>
      <c r="Q29" s="263">
        <f t="shared" si="2"/>
        <v>-65000</v>
      </c>
      <c r="R29" s="263">
        <f t="shared" si="3"/>
        <v>-67444</v>
      </c>
      <c r="S29" s="263">
        <f t="shared" si="4"/>
        <v>-64792</v>
      </c>
      <c r="T29" s="263">
        <f t="shared" si="8"/>
        <v>49348</v>
      </c>
      <c r="U29" s="263">
        <f t="shared" si="5"/>
        <v>-18096</v>
      </c>
      <c r="V29" s="263">
        <f t="shared" si="6"/>
        <v>-15444</v>
      </c>
      <c r="W29" s="263">
        <f t="shared" si="7"/>
        <v>-15652</v>
      </c>
    </row>
    <row r="30" spans="1:23" ht="14.4">
      <c r="A30" s="250" t="s">
        <v>710</v>
      </c>
      <c r="B30" s="259">
        <v>49382</v>
      </c>
      <c r="C30" s="259">
        <v>1125</v>
      </c>
      <c r="D30" s="259">
        <v>1378</v>
      </c>
      <c r="E30" s="259">
        <v>1398</v>
      </c>
      <c r="F30" s="259">
        <v>1377</v>
      </c>
      <c r="G30" s="259">
        <v>1043</v>
      </c>
      <c r="N30" s="250" t="s">
        <v>710</v>
      </c>
      <c r="O30" s="263">
        <f t="shared" si="11"/>
        <v>2567864</v>
      </c>
      <c r="P30" s="263">
        <f t="shared" si="1"/>
        <v>58500</v>
      </c>
      <c r="Q30" s="263">
        <f t="shared" si="2"/>
        <v>-71656</v>
      </c>
      <c r="R30" s="263">
        <f t="shared" si="3"/>
        <v>-72696</v>
      </c>
      <c r="S30" s="263">
        <f t="shared" si="4"/>
        <v>-71604</v>
      </c>
      <c r="T30" s="263">
        <f t="shared" si="8"/>
        <v>54236</v>
      </c>
      <c r="U30" s="263">
        <f t="shared" si="5"/>
        <v>-18460</v>
      </c>
      <c r="V30" s="263">
        <f t="shared" si="6"/>
        <v>-17368</v>
      </c>
      <c r="W30" s="263">
        <f t="shared" si="7"/>
        <v>-17420</v>
      </c>
    </row>
    <row r="31" spans="1:23" ht="14.4">
      <c r="A31" s="250" t="s">
        <v>711</v>
      </c>
      <c r="B31" s="259">
        <v>38356</v>
      </c>
      <c r="C31" s="259">
        <v>925</v>
      </c>
      <c r="D31" s="259">
        <v>1154</v>
      </c>
      <c r="E31" s="259">
        <v>1179</v>
      </c>
      <c r="F31" s="259">
        <v>1153</v>
      </c>
      <c r="G31" s="259">
        <v>835</v>
      </c>
      <c r="N31" s="250" t="s">
        <v>711</v>
      </c>
      <c r="O31" s="263">
        <f t="shared" si="11"/>
        <v>1994512</v>
      </c>
      <c r="P31" s="263">
        <f t="shared" si="1"/>
        <v>48100</v>
      </c>
      <c r="Q31" s="263">
        <f t="shared" si="2"/>
        <v>-60008</v>
      </c>
      <c r="R31" s="263">
        <f t="shared" si="3"/>
        <v>-61308</v>
      </c>
      <c r="S31" s="263">
        <f t="shared" si="4"/>
        <v>-59956</v>
      </c>
      <c r="T31" s="263">
        <f t="shared" si="8"/>
        <v>43420</v>
      </c>
      <c r="U31" s="263">
        <f t="shared" si="5"/>
        <v>-17888</v>
      </c>
      <c r="V31" s="263">
        <f t="shared" si="6"/>
        <v>-16536</v>
      </c>
      <c r="W31" s="263">
        <f t="shared" si="7"/>
        <v>-16588</v>
      </c>
    </row>
    <row r="32" spans="1:23" ht="72">
      <c r="A32" s="249" t="s">
        <v>712</v>
      </c>
      <c r="B32" s="259">
        <v>14740</v>
      </c>
      <c r="C32" s="259">
        <v>801</v>
      </c>
      <c r="D32" s="259">
        <v>1009</v>
      </c>
      <c r="E32" s="259">
        <v>1075</v>
      </c>
      <c r="F32" s="259">
        <v>1003</v>
      </c>
      <c r="G32" s="259">
        <v>764</v>
      </c>
      <c r="N32" s="249" t="s">
        <v>712</v>
      </c>
      <c r="O32" s="263">
        <f t="shared" si="11"/>
        <v>766480</v>
      </c>
      <c r="P32" s="263">
        <f t="shared" si="1"/>
        <v>41652</v>
      </c>
      <c r="Q32" s="263">
        <f t="shared" si="2"/>
        <v>-52468</v>
      </c>
      <c r="R32" s="263">
        <f t="shared" si="3"/>
        <v>-55900</v>
      </c>
      <c r="S32" s="263">
        <f t="shared" si="4"/>
        <v>-52156</v>
      </c>
      <c r="T32" s="263">
        <f t="shared" si="8"/>
        <v>39728</v>
      </c>
      <c r="U32" s="263">
        <f t="shared" si="5"/>
        <v>-16172</v>
      </c>
      <c r="V32" s="263">
        <f t="shared" si="6"/>
        <v>-12428</v>
      </c>
      <c r="W32" s="263">
        <f t="shared" si="7"/>
        <v>-12740</v>
      </c>
    </row>
    <row r="33" spans="1:23" ht="14.4">
      <c r="A33" s="250" t="s">
        <v>710</v>
      </c>
      <c r="B33" s="259">
        <v>7099</v>
      </c>
      <c r="C33" s="259">
        <v>825</v>
      </c>
      <c r="D33" s="259">
        <v>1140</v>
      </c>
      <c r="E33" s="259">
        <v>1281</v>
      </c>
      <c r="F33" s="259">
        <v>1132</v>
      </c>
      <c r="G33" s="259">
        <v>784</v>
      </c>
      <c r="N33" s="250" t="s">
        <v>710</v>
      </c>
      <c r="O33" s="263">
        <f t="shared" si="11"/>
        <v>369148</v>
      </c>
      <c r="P33" s="263">
        <f t="shared" si="1"/>
        <v>42900</v>
      </c>
      <c r="Q33" s="263">
        <f t="shared" si="2"/>
        <v>-59280</v>
      </c>
      <c r="R33" s="263">
        <f t="shared" si="3"/>
        <v>-66612</v>
      </c>
      <c r="S33" s="263">
        <f t="shared" si="4"/>
        <v>-58864</v>
      </c>
      <c r="T33" s="263">
        <f t="shared" si="8"/>
        <v>40768</v>
      </c>
      <c r="U33" s="263">
        <f t="shared" si="5"/>
        <v>-25844</v>
      </c>
      <c r="V33" s="263">
        <f t="shared" si="6"/>
        <v>-18096</v>
      </c>
      <c r="W33" s="263">
        <f t="shared" si="7"/>
        <v>-18512</v>
      </c>
    </row>
    <row r="34" spans="1:23" ht="14.4">
      <c r="A34" s="250" t="s">
        <v>711</v>
      </c>
      <c r="B34" s="259">
        <v>7641</v>
      </c>
      <c r="C34" s="259">
        <v>776</v>
      </c>
      <c r="D34" s="259">
        <v>937</v>
      </c>
      <c r="E34" s="259">
        <v>819</v>
      </c>
      <c r="F34" s="259">
        <v>941</v>
      </c>
      <c r="G34" s="259">
        <v>743</v>
      </c>
      <c r="N34" s="250" t="s">
        <v>711</v>
      </c>
      <c r="O34" s="263">
        <f t="shared" si="11"/>
        <v>397332</v>
      </c>
      <c r="P34" s="263">
        <f t="shared" si="1"/>
        <v>40352</v>
      </c>
      <c r="Q34" s="263">
        <f t="shared" si="2"/>
        <v>-48724</v>
      </c>
      <c r="R34" s="263">
        <f t="shared" si="3"/>
        <v>-42588</v>
      </c>
      <c r="S34" s="263">
        <f t="shared" si="4"/>
        <v>-48932</v>
      </c>
      <c r="T34" s="263">
        <f t="shared" si="8"/>
        <v>38636</v>
      </c>
      <c r="U34" s="263">
        <f t="shared" si="5"/>
        <v>-3952</v>
      </c>
      <c r="V34" s="263">
        <f t="shared" si="6"/>
        <v>-10296</v>
      </c>
      <c r="W34" s="263">
        <f t="shared" si="7"/>
        <v>-10088</v>
      </c>
    </row>
    <row r="35" spans="1:23" ht="43.2">
      <c r="A35" s="249" t="s">
        <v>713</v>
      </c>
      <c r="B35" s="259">
        <v>7780</v>
      </c>
      <c r="C35" s="259">
        <v>1328</v>
      </c>
      <c r="D35" s="259">
        <v>1483</v>
      </c>
      <c r="E35" s="259">
        <v>1736</v>
      </c>
      <c r="F35" s="259">
        <v>1470</v>
      </c>
      <c r="G35" s="259">
        <v>1253</v>
      </c>
      <c r="N35" s="249" t="s">
        <v>713</v>
      </c>
      <c r="O35" s="263">
        <f t="shared" si="11"/>
        <v>404560</v>
      </c>
      <c r="P35" s="263">
        <f t="shared" si="1"/>
        <v>69056</v>
      </c>
      <c r="Q35" s="263">
        <f t="shared" si="2"/>
        <v>-77116</v>
      </c>
      <c r="R35" s="263">
        <f t="shared" si="3"/>
        <v>-90272</v>
      </c>
      <c r="S35" s="263">
        <f t="shared" si="4"/>
        <v>-76440</v>
      </c>
      <c r="T35" s="263">
        <f t="shared" si="8"/>
        <v>65156</v>
      </c>
      <c r="U35" s="263">
        <f t="shared" si="5"/>
        <v>-25116</v>
      </c>
      <c r="V35" s="263">
        <f t="shared" si="6"/>
        <v>-11284</v>
      </c>
      <c r="W35" s="263">
        <f t="shared" si="7"/>
        <v>-11960</v>
      </c>
    </row>
    <row r="36" spans="1:23" ht="14.4">
      <c r="A36" s="250" t="s">
        <v>710</v>
      </c>
      <c r="B36" s="259">
        <v>4259</v>
      </c>
      <c r="C36" s="259">
        <v>1453</v>
      </c>
      <c r="D36" s="259">
        <v>1743</v>
      </c>
      <c r="E36" s="259">
        <v>1924</v>
      </c>
      <c r="F36" s="259">
        <v>1668</v>
      </c>
      <c r="G36" s="259">
        <v>1409</v>
      </c>
      <c r="N36" s="250" t="s">
        <v>710</v>
      </c>
      <c r="O36" s="263">
        <f t="shared" si="11"/>
        <v>221468</v>
      </c>
      <c r="P36" s="263">
        <f t="shared" si="1"/>
        <v>75556</v>
      </c>
      <c r="Q36" s="263">
        <f t="shared" si="2"/>
        <v>-90636</v>
      </c>
      <c r="R36" s="263">
        <f t="shared" si="3"/>
        <v>-100048</v>
      </c>
      <c r="S36" s="263">
        <f t="shared" si="4"/>
        <v>-86736</v>
      </c>
      <c r="T36" s="263">
        <f t="shared" si="8"/>
        <v>73268</v>
      </c>
      <c r="U36" s="263">
        <f t="shared" si="5"/>
        <v>-26780</v>
      </c>
      <c r="V36" s="263">
        <f t="shared" si="6"/>
        <v>-13468</v>
      </c>
      <c r="W36" s="263">
        <f t="shared" si="7"/>
        <v>-17368</v>
      </c>
    </row>
    <row r="37" spans="1:23" ht="14.4">
      <c r="A37" s="250" t="s">
        <v>711</v>
      </c>
      <c r="B37" s="259">
        <v>3520</v>
      </c>
      <c r="C37" s="259">
        <v>1141</v>
      </c>
      <c r="D37" s="259">
        <v>1347</v>
      </c>
      <c r="E37" s="259">
        <v>1342</v>
      </c>
      <c r="F37" s="259">
        <v>1348</v>
      </c>
      <c r="G37" s="259">
        <v>1079</v>
      </c>
      <c r="N37" s="250" t="s">
        <v>711</v>
      </c>
      <c r="O37" s="263">
        <f t="shared" si="11"/>
        <v>183040</v>
      </c>
      <c r="P37" s="263">
        <f t="shared" si="1"/>
        <v>59332</v>
      </c>
      <c r="Q37" s="263">
        <f t="shared" si="2"/>
        <v>-70044</v>
      </c>
      <c r="R37" s="263">
        <f t="shared" si="3"/>
        <v>-69784</v>
      </c>
      <c r="S37" s="263">
        <f t="shared" si="4"/>
        <v>-70096</v>
      </c>
      <c r="T37" s="263">
        <f t="shared" si="8"/>
        <v>56108</v>
      </c>
      <c r="U37" s="263">
        <f t="shared" si="5"/>
        <v>-13676</v>
      </c>
      <c r="V37" s="263">
        <f t="shared" si="6"/>
        <v>-13988</v>
      </c>
      <c r="W37" s="263">
        <f t="shared" si="7"/>
        <v>-13936</v>
      </c>
    </row>
    <row r="38" spans="1:23" ht="72">
      <c r="A38" s="249" t="s">
        <v>714</v>
      </c>
      <c r="B38" s="259">
        <v>20841</v>
      </c>
      <c r="C38" s="259">
        <v>777</v>
      </c>
      <c r="D38" s="259">
        <v>1040</v>
      </c>
      <c r="E38" s="259">
        <v>1017</v>
      </c>
      <c r="F38" s="259">
        <v>1045</v>
      </c>
      <c r="G38" s="259">
        <v>742</v>
      </c>
      <c r="N38" s="249" t="s">
        <v>714</v>
      </c>
      <c r="O38" s="263">
        <f t="shared" si="11"/>
        <v>1083732</v>
      </c>
      <c r="P38" s="263">
        <f t="shared" si="1"/>
        <v>40404</v>
      </c>
      <c r="Q38" s="263">
        <f t="shared" si="2"/>
        <v>-54080</v>
      </c>
      <c r="R38" s="263">
        <f t="shared" si="3"/>
        <v>-52884</v>
      </c>
      <c r="S38" s="263">
        <f t="shared" si="4"/>
        <v>-54340</v>
      </c>
      <c r="T38" s="263">
        <f t="shared" si="8"/>
        <v>38584</v>
      </c>
      <c r="U38" s="263">
        <f t="shared" si="5"/>
        <v>-14300</v>
      </c>
      <c r="V38" s="263">
        <f t="shared" si="6"/>
        <v>-15756</v>
      </c>
      <c r="W38" s="263">
        <f t="shared" si="7"/>
        <v>-15496</v>
      </c>
    </row>
    <row r="39" spans="1:23" ht="14.4">
      <c r="A39" s="250" t="s">
        <v>710</v>
      </c>
      <c r="B39" s="259">
        <v>12469</v>
      </c>
      <c r="C39" s="259">
        <v>820</v>
      </c>
      <c r="D39" s="259">
        <v>1147</v>
      </c>
      <c r="E39" s="259">
        <v>1126</v>
      </c>
      <c r="F39" s="259">
        <v>1148</v>
      </c>
      <c r="G39" s="259">
        <v>785</v>
      </c>
      <c r="N39" s="250" t="s">
        <v>710</v>
      </c>
      <c r="O39" s="263">
        <f t="shared" si="11"/>
        <v>648388</v>
      </c>
      <c r="P39" s="263">
        <f t="shared" si="1"/>
        <v>42640</v>
      </c>
      <c r="Q39" s="263">
        <f t="shared" si="2"/>
        <v>-59644</v>
      </c>
      <c r="R39" s="263">
        <f t="shared" si="3"/>
        <v>-58552</v>
      </c>
      <c r="S39" s="263">
        <f t="shared" si="4"/>
        <v>-59696</v>
      </c>
      <c r="T39" s="263">
        <f t="shared" si="8"/>
        <v>40820</v>
      </c>
      <c r="U39" s="263">
        <f t="shared" si="5"/>
        <v>-17732</v>
      </c>
      <c r="V39" s="263">
        <f t="shared" si="6"/>
        <v>-18876</v>
      </c>
      <c r="W39" s="263">
        <f t="shared" si="7"/>
        <v>-18824</v>
      </c>
    </row>
    <row r="40" spans="1:23" ht="14.4">
      <c r="A40" s="250" t="s">
        <v>711</v>
      </c>
      <c r="B40" s="259">
        <v>8372</v>
      </c>
      <c r="C40" s="259">
        <v>718</v>
      </c>
      <c r="D40" s="259">
        <v>937</v>
      </c>
      <c r="E40" s="259">
        <v>852</v>
      </c>
      <c r="F40" s="259">
        <v>942</v>
      </c>
      <c r="G40" s="259">
        <v>688</v>
      </c>
      <c r="N40" s="250" t="s">
        <v>711</v>
      </c>
      <c r="O40" s="263">
        <f t="shared" si="11"/>
        <v>435344</v>
      </c>
      <c r="P40" s="263">
        <f t="shared" si="1"/>
        <v>37336</v>
      </c>
      <c r="Q40" s="263">
        <f t="shared" si="2"/>
        <v>-48724</v>
      </c>
      <c r="R40" s="263">
        <f t="shared" si="3"/>
        <v>-44304</v>
      </c>
      <c r="S40" s="263">
        <f t="shared" si="4"/>
        <v>-48984</v>
      </c>
      <c r="T40" s="263">
        <f t="shared" si="8"/>
        <v>35776</v>
      </c>
      <c r="U40" s="263">
        <f t="shared" si="5"/>
        <v>-8528</v>
      </c>
      <c r="V40" s="263">
        <f t="shared" si="6"/>
        <v>-13208</v>
      </c>
      <c r="W40" s="263">
        <f t="shared" si="7"/>
        <v>-12948</v>
      </c>
    </row>
    <row r="41" spans="1:23" ht="14.4">
      <c r="A41" s="246"/>
      <c r="B41" s="260"/>
      <c r="C41" s="260"/>
      <c r="D41" s="260"/>
      <c r="E41" s="260"/>
      <c r="F41" s="260"/>
      <c r="G41" s="260"/>
      <c r="N41" s="246"/>
      <c r="P41" s="263">
        <f t="shared" si="1"/>
        <v>0</v>
      </c>
      <c r="Q41" s="263">
        <f t="shared" si="2"/>
        <v>0</v>
      </c>
      <c r="R41" s="263">
        <f t="shared" si="3"/>
        <v>0</v>
      </c>
      <c r="S41" s="263">
        <f t="shared" si="4"/>
        <v>0</v>
      </c>
      <c r="T41" s="263">
        <f t="shared" si="8"/>
        <v>0</v>
      </c>
    </row>
    <row r="42" spans="1:23" ht="57.6">
      <c r="A42" s="249" t="s">
        <v>715</v>
      </c>
      <c r="B42" s="260"/>
      <c r="C42" s="260"/>
      <c r="D42" s="260"/>
      <c r="E42" s="260"/>
      <c r="F42" s="260"/>
      <c r="G42" s="260"/>
      <c r="N42" s="249" t="s">
        <v>715</v>
      </c>
      <c r="P42" s="263">
        <f t="shared" si="1"/>
        <v>0</v>
      </c>
      <c r="Q42" s="263">
        <f t="shared" si="2"/>
        <v>0</v>
      </c>
      <c r="R42" s="263">
        <f t="shared" si="3"/>
        <v>0</v>
      </c>
      <c r="S42" s="263">
        <f t="shared" si="4"/>
        <v>0</v>
      </c>
      <c r="T42" s="263">
        <f t="shared" si="8"/>
        <v>0</v>
      </c>
      <c r="W42" s="263"/>
    </row>
    <row r="43" spans="1:23" ht="43.2">
      <c r="A43" s="249" t="s">
        <v>716</v>
      </c>
      <c r="B43" s="259">
        <v>103924</v>
      </c>
      <c r="C43" s="259">
        <v>1057</v>
      </c>
      <c r="D43" s="259">
        <v>1257</v>
      </c>
      <c r="E43" s="259">
        <v>1332</v>
      </c>
      <c r="F43" s="259">
        <v>1251</v>
      </c>
      <c r="G43" s="259">
        <v>987</v>
      </c>
      <c r="N43" s="249" t="s">
        <v>716</v>
      </c>
      <c r="O43" s="263">
        <f t="shared" ref="O43:O51" si="12">B43*52</f>
        <v>5404048</v>
      </c>
      <c r="P43" s="263">
        <f t="shared" si="1"/>
        <v>54964</v>
      </c>
      <c r="Q43" s="263">
        <f t="shared" si="2"/>
        <v>-65364</v>
      </c>
      <c r="R43" s="263">
        <f t="shared" si="3"/>
        <v>-69264</v>
      </c>
      <c r="S43" s="263">
        <f t="shared" si="4"/>
        <v>-65052</v>
      </c>
      <c r="T43" s="263">
        <f t="shared" si="8"/>
        <v>51324</v>
      </c>
      <c r="U43" s="263">
        <f t="shared" si="5"/>
        <v>-17940</v>
      </c>
      <c r="V43" s="263">
        <f t="shared" si="6"/>
        <v>-13728</v>
      </c>
      <c r="W43" s="263">
        <f t="shared" si="7"/>
        <v>-14040</v>
      </c>
    </row>
    <row r="44" spans="1:23" ht="72">
      <c r="A44" s="250" t="s">
        <v>717</v>
      </c>
      <c r="B44" s="259">
        <v>6033</v>
      </c>
      <c r="C44" s="259">
        <v>626</v>
      </c>
      <c r="D44" s="259">
        <v>765</v>
      </c>
      <c r="E44" s="259">
        <v>756</v>
      </c>
      <c r="F44" s="259">
        <v>768</v>
      </c>
      <c r="G44" s="259">
        <v>621</v>
      </c>
      <c r="N44" s="250" t="s">
        <v>717</v>
      </c>
      <c r="O44" s="263">
        <f t="shared" si="12"/>
        <v>313716</v>
      </c>
      <c r="P44" s="263">
        <f t="shared" si="1"/>
        <v>32552</v>
      </c>
      <c r="Q44" s="263">
        <f t="shared" si="2"/>
        <v>-39780</v>
      </c>
      <c r="R44" s="263">
        <f t="shared" si="3"/>
        <v>-39312</v>
      </c>
      <c r="S44" s="263">
        <f t="shared" si="4"/>
        <v>-39936</v>
      </c>
      <c r="T44" s="263">
        <f t="shared" si="8"/>
        <v>32292</v>
      </c>
      <c r="U44" s="263">
        <f t="shared" si="5"/>
        <v>-7020</v>
      </c>
      <c r="V44" s="263">
        <f t="shared" si="6"/>
        <v>-7644</v>
      </c>
      <c r="W44" s="263">
        <f t="shared" si="7"/>
        <v>-7488</v>
      </c>
    </row>
    <row r="45" spans="1:23" ht="90">
      <c r="A45" s="250" t="s">
        <v>718</v>
      </c>
      <c r="B45" s="259">
        <v>24860</v>
      </c>
      <c r="C45" s="259">
        <v>809</v>
      </c>
      <c r="D45" s="259">
        <v>937</v>
      </c>
      <c r="E45" s="259">
        <v>995</v>
      </c>
      <c r="F45" s="259">
        <v>928</v>
      </c>
      <c r="G45" s="259">
        <v>796</v>
      </c>
      <c r="N45" s="250" t="s">
        <v>718</v>
      </c>
      <c r="O45" s="263">
        <f t="shared" si="12"/>
        <v>1292720</v>
      </c>
      <c r="P45" s="263">
        <f t="shared" si="1"/>
        <v>42068</v>
      </c>
      <c r="Q45" s="263">
        <f t="shared" si="2"/>
        <v>-48724</v>
      </c>
      <c r="R45" s="263">
        <f t="shared" si="3"/>
        <v>-51740</v>
      </c>
      <c r="S45" s="263">
        <f t="shared" si="4"/>
        <v>-48256</v>
      </c>
      <c r="T45" s="263">
        <f t="shared" si="8"/>
        <v>41392</v>
      </c>
      <c r="U45" s="263">
        <f t="shared" si="5"/>
        <v>-10348</v>
      </c>
      <c r="V45" s="263">
        <f t="shared" si="6"/>
        <v>-6864</v>
      </c>
      <c r="W45" s="263">
        <f t="shared" si="7"/>
        <v>-7332</v>
      </c>
    </row>
    <row r="46" spans="1:23" ht="86.4">
      <c r="A46" s="250" t="s">
        <v>719</v>
      </c>
      <c r="B46" s="259">
        <v>25824</v>
      </c>
      <c r="C46" s="259">
        <v>925</v>
      </c>
      <c r="D46" s="259">
        <v>1002</v>
      </c>
      <c r="E46" s="259">
        <v>1018</v>
      </c>
      <c r="F46" s="259">
        <v>999</v>
      </c>
      <c r="G46" s="259">
        <v>900</v>
      </c>
      <c r="N46" s="250" t="s">
        <v>719</v>
      </c>
      <c r="O46" s="263">
        <f t="shared" si="12"/>
        <v>1342848</v>
      </c>
      <c r="P46" s="263">
        <f t="shared" si="1"/>
        <v>48100</v>
      </c>
      <c r="Q46" s="263">
        <f t="shared" si="2"/>
        <v>-52104</v>
      </c>
      <c r="R46" s="263">
        <f t="shared" si="3"/>
        <v>-52936</v>
      </c>
      <c r="S46" s="263">
        <f t="shared" si="4"/>
        <v>-51948</v>
      </c>
      <c r="T46" s="263">
        <f t="shared" si="8"/>
        <v>46800</v>
      </c>
      <c r="U46" s="263">
        <f t="shared" si="5"/>
        <v>-6136</v>
      </c>
      <c r="V46" s="263">
        <f t="shared" si="6"/>
        <v>-5148</v>
      </c>
      <c r="W46" s="263">
        <f t="shared" si="7"/>
        <v>-5304</v>
      </c>
    </row>
    <row r="47" spans="1:23" ht="72">
      <c r="A47" s="251" t="s">
        <v>720</v>
      </c>
      <c r="B47" s="259">
        <v>14597</v>
      </c>
      <c r="C47" s="259">
        <v>899</v>
      </c>
      <c r="D47" s="259">
        <v>975</v>
      </c>
      <c r="E47" s="259">
        <v>1027</v>
      </c>
      <c r="F47" s="259">
        <v>966</v>
      </c>
      <c r="G47" s="259">
        <v>882</v>
      </c>
      <c r="N47" s="251" t="s">
        <v>720</v>
      </c>
      <c r="O47" s="263">
        <f t="shared" si="12"/>
        <v>759044</v>
      </c>
      <c r="P47" s="263">
        <f t="shared" si="1"/>
        <v>46748</v>
      </c>
      <c r="Q47" s="263">
        <f t="shared" si="2"/>
        <v>-50700</v>
      </c>
      <c r="R47" s="263">
        <f t="shared" si="3"/>
        <v>-53404</v>
      </c>
      <c r="S47" s="263">
        <f t="shared" si="4"/>
        <v>-50232</v>
      </c>
      <c r="T47" s="263">
        <f t="shared" si="8"/>
        <v>45864</v>
      </c>
      <c r="U47" s="263">
        <f t="shared" si="5"/>
        <v>-7540</v>
      </c>
      <c r="V47" s="263">
        <f t="shared" si="6"/>
        <v>-4368</v>
      </c>
      <c r="W47" s="263">
        <f t="shared" si="7"/>
        <v>-4836</v>
      </c>
    </row>
    <row r="48" spans="1:23" ht="57.6">
      <c r="A48" s="251" t="s">
        <v>721</v>
      </c>
      <c r="B48" s="259">
        <v>11227</v>
      </c>
      <c r="C48" s="259">
        <v>963</v>
      </c>
      <c r="D48" s="259">
        <v>1023</v>
      </c>
      <c r="E48" s="259">
        <v>1012</v>
      </c>
      <c r="F48" s="259">
        <v>1024</v>
      </c>
      <c r="G48" s="259">
        <v>928</v>
      </c>
      <c r="N48" s="251" t="s">
        <v>721</v>
      </c>
      <c r="O48" s="263">
        <f t="shared" si="12"/>
        <v>583804</v>
      </c>
      <c r="P48" s="263">
        <f t="shared" si="1"/>
        <v>50076</v>
      </c>
      <c r="Q48" s="263">
        <f t="shared" si="2"/>
        <v>-53196</v>
      </c>
      <c r="R48" s="263">
        <f t="shared" si="3"/>
        <v>-52624</v>
      </c>
      <c r="S48" s="263">
        <f t="shared" si="4"/>
        <v>-53248</v>
      </c>
      <c r="T48" s="263">
        <f t="shared" si="8"/>
        <v>48256</v>
      </c>
      <c r="U48" s="263">
        <f t="shared" si="5"/>
        <v>-4368</v>
      </c>
      <c r="V48" s="263">
        <f t="shared" si="6"/>
        <v>-4992</v>
      </c>
      <c r="W48" s="263">
        <f t="shared" si="7"/>
        <v>-4940</v>
      </c>
    </row>
    <row r="49" spans="1:23" ht="72">
      <c r="A49" s="250" t="s">
        <v>722</v>
      </c>
      <c r="B49" s="259">
        <v>47207</v>
      </c>
      <c r="C49" s="259">
        <v>1452</v>
      </c>
      <c r="D49" s="259">
        <v>1488</v>
      </c>
      <c r="E49" s="259">
        <v>1674</v>
      </c>
      <c r="F49" s="259">
        <v>1472</v>
      </c>
      <c r="G49" s="259">
        <v>1433</v>
      </c>
      <c r="N49" s="250" t="s">
        <v>722</v>
      </c>
      <c r="O49" s="263">
        <f t="shared" si="12"/>
        <v>2454764</v>
      </c>
      <c r="P49" s="263">
        <f t="shared" si="1"/>
        <v>75504</v>
      </c>
      <c r="Q49" s="263">
        <f t="shared" si="2"/>
        <v>-77376</v>
      </c>
      <c r="R49" s="263">
        <f t="shared" si="3"/>
        <v>-87048</v>
      </c>
      <c r="S49" s="263">
        <f t="shared" si="4"/>
        <v>-76544</v>
      </c>
      <c r="T49" s="263">
        <f t="shared" si="8"/>
        <v>74516</v>
      </c>
      <c r="U49" s="263">
        <f t="shared" si="5"/>
        <v>-12532</v>
      </c>
      <c r="V49" s="263">
        <f t="shared" si="6"/>
        <v>-2028</v>
      </c>
      <c r="W49" s="263">
        <f t="shared" si="7"/>
        <v>-2860</v>
      </c>
    </row>
    <row r="50" spans="1:23" ht="57.6">
      <c r="A50" s="251" t="s">
        <v>723</v>
      </c>
      <c r="B50" s="259">
        <v>28930</v>
      </c>
      <c r="C50" s="259">
        <v>1334</v>
      </c>
      <c r="D50" s="259">
        <v>1342</v>
      </c>
      <c r="E50" s="259">
        <v>1564</v>
      </c>
      <c r="F50" s="259">
        <v>1321</v>
      </c>
      <c r="G50" s="259">
        <v>1331</v>
      </c>
      <c r="N50" s="295" t="s">
        <v>723</v>
      </c>
      <c r="O50" s="263">
        <f t="shared" si="12"/>
        <v>1504360</v>
      </c>
      <c r="P50" s="263">
        <f t="shared" si="1"/>
        <v>69368</v>
      </c>
      <c r="Q50" s="263">
        <f t="shared" si="2"/>
        <v>-69784</v>
      </c>
      <c r="R50" s="263">
        <f t="shared" si="3"/>
        <v>-81328</v>
      </c>
      <c r="S50" s="263">
        <f t="shared" si="4"/>
        <v>-68692</v>
      </c>
      <c r="T50" s="263">
        <f t="shared" si="8"/>
        <v>69212</v>
      </c>
      <c r="U50" s="263">
        <f t="shared" si="5"/>
        <v>-12116</v>
      </c>
      <c r="V50" s="263">
        <f t="shared" si="6"/>
        <v>520</v>
      </c>
      <c r="W50" s="263">
        <f>Q50+T50</f>
        <v>-572</v>
      </c>
    </row>
    <row r="51" spans="1:23" ht="59.4">
      <c r="A51" s="251" t="s">
        <v>724</v>
      </c>
      <c r="B51" s="259">
        <v>18277</v>
      </c>
      <c r="C51" s="259">
        <v>1658</v>
      </c>
      <c r="D51" s="259">
        <v>1628</v>
      </c>
      <c r="E51" s="259">
        <v>1872</v>
      </c>
      <c r="F51" s="259">
        <v>1611</v>
      </c>
      <c r="G51" s="259">
        <v>1702</v>
      </c>
      <c r="N51" s="295" t="s">
        <v>724</v>
      </c>
      <c r="O51" s="263">
        <f t="shared" si="12"/>
        <v>950404</v>
      </c>
      <c r="P51" s="263">
        <f t="shared" si="1"/>
        <v>86216</v>
      </c>
      <c r="Q51" s="263">
        <f t="shared" si="2"/>
        <v>-84656</v>
      </c>
      <c r="R51" s="263">
        <f t="shared" si="3"/>
        <v>-97344</v>
      </c>
      <c r="S51" s="263">
        <f t="shared" si="4"/>
        <v>-83772</v>
      </c>
      <c r="T51" s="263">
        <f t="shared" si="8"/>
        <v>88504</v>
      </c>
      <c r="U51" s="263">
        <f t="shared" si="5"/>
        <v>-8840</v>
      </c>
      <c r="V51" s="263">
        <f t="shared" si="6"/>
        <v>4732</v>
      </c>
      <c r="W51" s="263">
        <f t="shared" si="7"/>
        <v>3848</v>
      </c>
    </row>
    <row r="52" spans="1:23" ht="14.4">
      <c r="A52" s="246"/>
      <c r="B52" s="260"/>
      <c r="C52" s="260"/>
      <c r="D52" s="260"/>
      <c r="E52" s="260"/>
      <c r="F52" s="260"/>
      <c r="G52" s="260"/>
      <c r="N52" s="246"/>
      <c r="P52" s="263">
        <f t="shared" si="1"/>
        <v>0</v>
      </c>
      <c r="Q52" s="263">
        <f t="shared" si="2"/>
        <v>0</v>
      </c>
      <c r="R52" s="263">
        <f t="shared" si="3"/>
        <v>0</v>
      </c>
      <c r="S52" s="263">
        <f t="shared" si="4"/>
        <v>0</v>
      </c>
      <c r="T52" s="263">
        <f t="shared" si="8"/>
        <v>0</v>
      </c>
      <c r="W52" s="263"/>
    </row>
    <row r="53" spans="1:23" ht="43.2">
      <c r="A53" s="249" t="s">
        <v>725</v>
      </c>
      <c r="B53" s="259">
        <v>57191</v>
      </c>
      <c r="C53" s="259">
        <v>1160</v>
      </c>
      <c r="D53" s="259">
        <v>1391</v>
      </c>
      <c r="E53" s="259">
        <v>1455</v>
      </c>
      <c r="F53" s="259">
        <v>1384</v>
      </c>
      <c r="G53" s="259">
        <v>1099</v>
      </c>
      <c r="N53" s="249" t="s">
        <v>725</v>
      </c>
      <c r="O53" s="263">
        <f t="shared" ref="O53:O61" si="13">B53*52</f>
        <v>2973932</v>
      </c>
      <c r="P53" s="263">
        <f t="shared" si="1"/>
        <v>60320</v>
      </c>
      <c r="Q53" s="263">
        <f t="shared" si="2"/>
        <v>-72332</v>
      </c>
      <c r="R53" s="263">
        <f t="shared" si="3"/>
        <v>-75660</v>
      </c>
      <c r="S53" s="263">
        <f t="shared" si="4"/>
        <v>-71968</v>
      </c>
      <c r="T53" s="263">
        <f t="shared" si="8"/>
        <v>57148</v>
      </c>
      <c r="U53" s="263">
        <f t="shared" si="5"/>
        <v>-18512</v>
      </c>
      <c r="V53" s="263">
        <f t="shared" si="6"/>
        <v>-14820</v>
      </c>
      <c r="W53" s="263">
        <f t="shared" si="7"/>
        <v>-15184</v>
      </c>
    </row>
    <row r="54" spans="1:23" ht="72">
      <c r="A54" s="250" t="s">
        <v>717</v>
      </c>
      <c r="B54" s="259">
        <v>4123</v>
      </c>
      <c r="C54" s="259">
        <v>684</v>
      </c>
      <c r="D54" s="259">
        <v>870</v>
      </c>
      <c r="E54" s="259" t="s">
        <v>707</v>
      </c>
      <c r="F54" s="259">
        <v>877</v>
      </c>
      <c r="G54" s="259">
        <v>677</v>
      </c>
      <c r="N54" s="250" t="s">
        <v>717</v>
      </c>
      <c r="O54" s="263">
        <f t="shared" si="13"/>
        <v>214396</v>
      </c>
      <c r="P54" s="263">
        <f t="shared" si="1"/>
        <v>35568</v>
      </c>
      <c r="Q54" s="263">
        <f t="shared" si="2"/>
        <v>-45240</v>
      </c>
      <c r="R54" s="263" t="e">
        <f t="shared" si="3"/>
        <v>#VALUE!</v>
      </c>
      <c r="S54" s="263">
        <f t="shared" si="4"/>
        <v>-45604</v>
      </c>
      <c r="T54" s="263">
        <f t="shared" si="8"/>
        <v>35204</v>
      </c>
      <c r="U54" s="263" t="e">
        <f t="shared" si="5"/>
        <v>#VALUE!</v>
      </c>
      <c r="V54" s="263">
        <f t="shared" si="6"/>
        <v>-10400</v>
      </c>
      <c r="W54" s="263">
        <f t="shared" si="7"/>
        <v>-10036</v>
      </c>
    </row>
    <row r="55" spans="1:23" ht="90">
      <c r="A55" s="250" t="s">
        <v>718</v>
      </c>
      <c r="B55" s="259">
        <v>15496</v>
      </c>
      <c r="C55" s="259">
        <v>904</v>
      </c>
      <c r="D55" s="259">
        <v>1069</v>
      </c>
      <c r="E55" s="259">
        <v>1092</v>
      </c>
      <c r="F55" s="259">
        <v>1066</v>
      </c>
      <c r="G55" s="259">
        <v>882</v>
      </c>
      <c r="N55" s="250" t="s">
        <v>718</v>
      </c>
      <c r="O55" s="263">
        <f t="shared" si="13"/>
        <v>805792</v>
      </c>
      <c r="P55" s="263">
        <f t="shared" si="1"/>
        <v>47008</v>
      </c>
      <c r="Q55" s="263">
        <f t="shared" si="2"/>
        <v>-55588</v>
      </c>
      <c r="R55" s="263">
        <f t="shared" si="3"/>
        <v>-56784</v>
      </c>
      <c r="S55" s="263">
        <f t="shared" si="4"/>
        <v>-55432</v>
      </c>
      <c r="T55" s="263">
        <f t="shared" si="8"/>
        <v>45864</v>
      </c>
      <c r="U55" s="263">
        <f t="shared" si="5"/>
        <v>-10920</v>
      </c>
      <c r="V55" s="263">
        <f t="shared" si="6"/>
        <v>-9568</v>
      </c>
      <c r="W55" s="263">
        <f t="shared" si="7"/>
        <v>-9724</v>
      </c>
    </row>
    <row r="56" spans="1:23" ht="86.4">
      <c r="A56" s="250" t="s">
        <v>719</v>
      </c>
      <c r="B56" s="259">
        <v>13775</v>
      </c>
      <c r="C56" s="259">
        <v>1047</v>
      </c>
      <c r="D56" s="259">
        <v>1155</v>
      </c>
      <c r="E56" s="259">
        <v>1197</v>
      </c>
      <c r="F56" s="259">
        <v>1150</v>
      </c>
      <c r="G56" s="259">
        <v>1015</v>
      </c>
      <c r="N56" s="250" t="s">
        <v>719</v>
      </c>
      <c r="O56" s="263">
        <f t="shared" si="13"/>
        <v>716300</v>
      </c>
      <c r="P56" s="263">
        <f t="shared" si="1"/>
        <v>54444</v>
      </c>
      <c r="Q56" s="263">
        <f t="shared" si="2"/>
        <v>-60060</v>
      </c>
      <c r="R56" s="263">
        <f t="shared" si="3"/>
        <v>-62244</v>
      </c>
      <c r="S56" s="263">
        <f t="shared" si="4"/>
        <v>-59800</v>
      </c>
      <c r="T56" s="263">
        <f t="shared" si="8"/>
        <v>52780</v>
      </c>
      <c r="U56" s="263">
        <f t="shared" si="5"/>
        <v>-9464</v>
      </c>
      <c r="V56" s="263">
        <f t="shared" si="6"/>
        <v>-7020</v>
      </c>
      <c r="W56" s="263">
        <f t="shared" si="7"/>
        <v>-7280</v>
      </c>
    </row>
    <row r="57" spans="1:23" ht="72">
      <c r="A57" s="251" t="s">
        <v>720</v>
      </c>
      <c r="B57" s="259">
        <v>8110</v>
      </c>
      <c r="C57" s="259">
        <v>1010</v>
      </c>
      <c r="D57" s="259">
        <v>1142</v>
      </c>
      <c r="E57" s="259">
        <v>1233</v>
      </c>
      <c r="F57" s="259">
        <v>1130</v>
      </c>
      <c r="G57" s="259">
        <v>986</v>
      </c>
      <c r="N57" s="251" t="s">
        <v>720</v>
      </c>
      <c r="O57" s="263">
        <f t="shared" si="13"/>
        <v>421720</v>
      </c>
      <c r="P57" s="263">
        <f t="shared" si="1"/>
        <v>52520</v>
      </c>
      <c r="Q57" s="263">
        <f t="shared" si="2"/>
        <v>-59384</v>
      </c>
      <c r="R57" s="263">
        <f t="shared" si="3"/>
        <v>-64116</v>
      </c>
      <c r="S57" s="263">
        <f t="shared" si="4"/>
        <v>-58760</v>
      </c>
      <c r="T57" s="263">
        <f t="shared" si="8"/>
        <v>51272</v>
      </c>
      <c r="U57" s="263">
        <f t="shared" si="5"/>
        <v>-12844</v>
      </c>
      <c r="V57" s="263">
        <f t="shared" si="6"/>
        <v>-7488</v>
      </c>
      <c r="W57" s="263">
        <f t="shared" si="7"/>
        <v>-8112</v>
      </c>
    </row>
    <row r="58" spans="1:23" ht="57.6">
      <c r="A58" s="251" t="s">
        <v>721</v>
      </c>
      <c r="B58" s="259">
        <v>5665</v>
      </c>
      <c r="C58" s="259">
        <v>1103</v>
      </c>
      <c r="D58" s="259">
        <v>1163</v>
      </c>
      <c r="E58" s="259">
        <v>1144</v>
      </c>
      <c r="F58" s="259">
        <v>1165</v>
      </c>
      <c r="G58" s="259">
        <v>1070</v>
      </c>
      <c r="N58" s="251" t="s">
        <v>721</v>
      </c>
      <c r="O58" s="263">
        <f t="shared" si="13"/>
        <v>294580</v>
      </c>
      <c r="P58" s="263">
        <f t="shared" si="1"/>
        <v>57356</v>
      </c>
      <c r="Q58" s="263">
        <f t="shared" si="2"/>
        <v>-60476</v>
      </c>
      <c r="R58" s="263">
        <f t="shared" si="3"/>
        <v>-59488</v>
      </c>
      <c r="S58" s="263">
        <f t="shared" si="4"/>
        <v>-60580</v>
      </c>
      <c r="T58" s="263">
        <f t="shared" si="8"/>
        <v>55640</v>
      </c>
      <c r="U58" s="263">
        <f t="shared" si="5"/>
        <v>-3848</v>
      </c>
      <c r="V58" s="263">
        <f t="shared" si="6"/>
        <v>-4940</v>
      </c>
      <c r="W58" s="263">
        <f t="shared" si="7"/>
        <v>-4836</v>
      </c>
    </row>
    <row r="59" spans="1:23" ht="72">
      <c r="A59" s="250" t="s">
        <v>722</v>
      </c>
      <c r="B59" s="259">
        <v>23798</v>
      </c>
      <c r="C59" s="259">
        <v>1661</v>
      </c>
      <c r="D59" s="259">
        <v>1744</v>
      </c>
      <c r="E59" s="259">
        <v>1887</v>
      </c>
      <c r="F59" s="259">
        <v>1733</v>
      </c>
      <c r="G59" s="259">
        <v>1636</v>
      </c>
      <c r="N59" s="250" t="s">
        <v>722</v>
      </c>
      <c r="O59" s="263">
        <f t="shared" si="13"/>
        <v>1237496</v>
      </c>
      <c r="P59" s="263">
        <f t="shared" si="1"/>
        <v>86372</v>
      </c>
      <c r="Q59" s="263">
        <f t="shared" si="2"/>
        <v>-90688</v>
      </c>
      <c r="R59" s="263">
        <f t="shared" si="3"/>
        <v>-98124</v>
      </c>
      <c r="S59" s="263">
        <f t="shared" si="4"/>
        <v>-90116</v>
      </c>
      <c r="T59" s="263">
        <f t="shared" si="8"/>
        <v>85072</v>
      </c>
      <c r="U59" s="263">
        <f t="shared" si="5"/>
        <v>-13052</v>
      </c>
      <c r="V59" s="263">
        <f t="shared" si="6"/>
        <v>-5044</v>
      </c>
      <c r="W59" s="263">
        <f t="shared" si="7"/>
        <v>-5616</v>
      </c>
    </row>
    <row r="60" spans="1:23" ht="57.6">
      <c r="A60" s="251" t="s">
        <v>723</v>
      </c>
      <c r="B60" s="259">
        <v>15069</v>
      </c>
      <c r="C60" s="259">
        <v>1512</v>
      </c>
      <c r="D60" s="259">
        <v>1540</v>
      </c>
      <c r="E60" s="259">
        <v>1735</v>
      </c>
      <c r="F60" s="259">
        <v>1519</v>
      </c>
      <c r="G60" s="259">
        <v>1500</v>
      </c>
      <c r="N60" s="295" t="s">
        <v>723</v>
      </c>
      <c r="O60" s="263">
        <f t="shared" si="13"/>
        <v>783588</v>
      </c>
      <c r="P60" s="263">
        <f t="shared" si="1"/>
        <v>78624</v>
      </c>
      <c r="Q60" s="263">
        <f t="shared" si="2"/>
        <v>-80080</v>
      </c>
      <c r="R60" s="263">
        <f t="shared" si="3"/>
        <v>-90220</v>
      </c>
      <c r="S60" s="263">
        <f t="shared" si="4"/>
        <v>-78988</v>
      </c>
      <c r="T60" s="263">
        <f t="shared" si="8"/>
        <v>78000</v>
      </c>
      <c r="U60" s="263">
        <f t="shared" si="5"/>
        <v>-12220</v>
      </c>
      <c r="V60" s="263">
        <f t="shared" si="6"/>
        <v>-988</v>
      </c>
      <c r="W60" s="263">
        <f t="shared" si="7"/>
        <v>-2080</v>
      </c>
    </row>
    <row r="61" spans="1:23" ht="59.4">
      <c r="A61" s="251" t="s">
        <v>724</v>
      </c>
      <c r="B61" s="259">
        <v>8729</v>
      </c>
      <c r="C61" s="259">
        <v>1910</v>
      </c>
      <c r="D61" s="259">
        <v>1910</v>
      </c>
      <c r="E61" s="259">
        <v>2093</v>
      </c>
      <c r="F61" s="259">
        <v>1903</v>
      </c>
      <c r="G61" s="259">
        <v>1910</v>
      </c>
      <c r="N61" s="295" t="s">
        <v>724</v>
      </c>
      <c r="O61" s="263">
        <f t="shared" si="13"/>
        <v>453908</v>
      </c>
      <c r="P61" s="263">
        <f t="shared" si="1"/>
        <v>99320</v>
      </c>
      <c r="Q61" s="263">
        <f t="shared" si="2"/>
        <v>-99320</v>
      </c>
      <c r="R61" s="263">
        <f t="shared" si="3"/>
        <v>-108836</v>
      </c>
      <c r="S61" s="263">
        <f t="shared" si="4"/>
        <v>-98956</v>
      </c>
      <c r="T61" s="263">
        <f t="shared" si="8"/>
        <v>99320</v>
      </c>
      <c r="U61" s="263">
        <f t="shared" si="5"/>
        <v>-9516</v>
      </c>
      <c r="V61" s="263">
        <f t="shared" si="6"/>
        <v>364</v>
      </c>
      <c r="W61" s="263">
        <f t="shared" si="7"/>
        <v>0</v>
      </c>
    </row>
    <row r="62" spans="1:23" ht="14.4">
      <c r="A62" s="246"/>
      <c r="B62" s="260"/>
      <c r="C62" s="260"/>
      <c r="D62" s="260"/>
      <c r="E62" s="260"/>
      <c r="F62" s="260"/>
      <c r="G62" s="260"/>
      <c r="N62" s="246"/>
      <c r="P62" s="263">
        <f t="shared" si="1"/>
        <v>0</v>
      </c>
      <c r="Q62" s="263">
        <f t="shared" si="2"/>
        <v>0</v>
      </c>
      <c r="R62" s="263">
        <f t="shared" si="3"/>
        <v>0</v>
      </c>
      <c r="S62" s="263">
        <f t="shared" si="4"/>
        <v>0</v>
      </c>
      <c r="T62" s="263">
        <f t="shared" si="8"/>
        <v>0</v>
      </c>
      <c r="W62" s="263"/>
    </row>
    <row r="63" spans="1:23" ht="43.2">
      <c r="A63" s="249" t="s">
        <v>726</v>
      </c>
      <c r="B63" s="259">
        <v>46733</v>
      </c>
      <c r="C63" s="259">
        <v>954</v>
      </c>
      <c r="D63" s="259">
        <v>1159</v>
      </c>
      <c r="E63" s="259">
        <v>1178</v>
      </c>
      <c r="F63" s="259">
        <v>1158</v>
      </c>
      <c r="G63" s="259">
        <v>876</v>
      </c>
      <c r="N63" s="249" t="s">
        <v>726</v>
      </c>
      <c r="O63" s="263">
        <f t="shared" ref="O63:O71" si="14">B63*52</f>
        <v>2430116</v>
      </c>
      <c r="P63" s="263">
        <f t="shared" si="1"/>
        <v>49608</v>
      </c>
      <c r="Q63" s="263">
        <f t="shared" si="2"/>
        <v>-60268</v>
      </c>
      <c r="R63" s="263">
        <f t="shared" si="3"/>
        <v>-61256</v>
      </c>
      <c r="S63" s="263">
        <f t="shared" si="4"/>
        <v>-60216</v>
      </c>
      <c r="T63" s="263">
        <f t="shared" si="8"/>
        <v>45552</v>
      </c>
      <c r="U63" s="263">
        <f t="shared" si="5"/>
        <v>-15704</v>
      </c>
      <c r="V63" s="263">
        <f t="shared" si="6"/>
        <v>-14664</v>
      </c>
      <c r="W63" s="263">
        <f t="shared" si="7"/>
        <v>-14716</v>
      </c>
    </row>
    <row r="64" spans="1:23" ht="72">
      <c r="A64" s="250" t="s">
        <v>717</v>
      </c>
      <c r="B64" s="259">
        <v>1910</v>
      </c>
      <c r="C64" s="259">
        <v>550</v>
      </c>
      <c r="D64" s="259">
        <v>610</v>
      </c>
      <c r="E64" s="259" t="s">
        <v>707</v>
      </c>
      <c r="F64" s="259">
        <v>610</v>
      </c>
      <c r="G64" s="259">
        <v>548</v>
      </c>
      <c r="N64" s="250" t="s">
        <v>717</v>
      </c>
      <c r="O64" s="263">
        <f t="shared" si="14"/>
        <v>99320</v>
      </c>
      <c r="P64" s="263">
        <f t="shared" si="1"/>
        <v>28600</v>
      </c>
      <c r="Q64" s="263">
        <f t="shared" si="2"/>
        <v>-31720</v>
      </c>
      <c r="R64" s="263" t="e">
        <f t="shared" si="3"/>
        <v>#VALUE!</v>
      </c>
      <c r="S64" s="263">
        <f t="shared" si="4"/>
        <v>-31720</v>
      </c>
      <c r="T64" s="263">
        <f t="shared" si="8"/>
        <v>28496</v>
      </c>
      <c r="U64" s="263" t="e">
        <f t="shared" si="5"/>
        <v>#VALUE!</v>
      </c>
      <c r="V64" s="263">
        <f t="shared" si="6"/>
        <v>-3224</v>
      </c>
      <c r="W64" s="263">
        <f t="shared" si="7"/>
        <v>-3224</v>
      </c>
    </row>
    <row r="65" spans="1:23" ht="90">
      <c r="A65" s="250" t="s">
        <v>718</v>
      </c>
      <c r="B65" s="259">
        <v>9364</v>
      </c>
      <c r="C65" s="259">
        <v>698</v>
      </c>
      <c r="D65" s="259">
        <v>706</v>
      </c>
      <c r="E65" s="259">
        <v>764</v>
      </c>
      <c r="F65" s="259">
        <v>700</v>
      </c>
      <c r="G65" s="259">
        <v>697</v>
      </c>
      <c r="N65" s="250" t="s">
        <v>718</v>
      </c>
      <c r="O65" s="263">
        <f t="shared" si="14"/>
        <v>486928</v>
      </c>
      <c r="P65" s="263">
        <f t="shared" si="1"/>
        <v>36296</v>
      </c>
      <c r="Q65" s="263">
        <f t="shared" si="2"/>
        <v>-36712</v>
      </c>
      <c r="R65" s="263">
        <f t="shared" si="3"/>
        <v>-39728</v>
      </c>
      <c r="S65" s="263">
        <f t="shared" si="4"/>
        <v>-36400</v>
      </c>
      <c r="T65" s="263">
        <f t="shared" si="8"/>
        <v>36244</v>
      </c>
      <c r="U65" s="263">
        <f t="shared" si="5"/>
        <v>-3484</v>
      </c>
      <c r="V65" s="263">
        <f t="shared" si="6"/>
        <v>-156</v>
      </c>
      <c r="W65" s="263">
        <f t="shared" si="7"/>
        <v>-468</v>
      </c>
    </row>
    <row r="66" spans="1:23" ht="86.4">
      <c r="A66" s="250" t="s">
        <v>719</v>
      </c>
      <c r="B66" s="259">
        <v>12049</v>
      </c>
      <c r="C66" s="259">
        <v>803</v>
      </c>
      <c r="D66" s="259">
        <v>870</v>
      </c>
      <c r="E66" s="259">
        <v>848</v>
      </c>
      <c r="F66" s="259">
        <v>872</v>
      </c>
      <c r="G66" s="259">
        <v>783</v>
      </c>
      <c r="N66" s="250" t="s">
        <v>719</v>
      </c>
      <c r="O66" s="263">
        <f t="shared" si="14"/>
        <v>626548</v>
      </c>
      <c r="P66" s="263">
        <f t="shared" si="1"/>
        <v>41756</v>
      </c>
      <c r="Q66" s="263">
        <f t="shared" si="2"/>
        <v>-45240</v>
      </c>
      <c r="R66" s="263">
        <f t="shared" si="3"/>
        <v>-44096</v>
      </c>
      <c r="S66" s="263">
        <f t="shared" si="4"/>
        <v>-45344</v>
      </c>
      <c r="T66" s="263">
        <f t="shared" si="8"/>
        <v>40716</v>
      </c>
      <c r="U66" s="263">
        <f t="shared" si="5"/>
        <v>-3380</v>
      </c>
      <c r="V66" s="263">
        <f t="shared" si="6"/>
        <v>-4628</v>
      </c>
      <c r="W66" s="263">
        <f t="shared" si="7"/>
        <v>-4524</v>
      </c>
    </row>
    <row r="67" spans="1:23" ht="72">
      <c r="A67" s="251" t="s">
        <v>720</v>
      </c>
      <c r="B67" s="259">
        <v>6487</v>
      </c>
      <c r="C67" s="259">
        <v>779</v>
      </c>
      <c r="D67" s="259">
        <v>793</v>
      </c>
      <c r="E67" s="259">
        <v>808</v>
      </c>
      <c r="F67" s="259">
        <v>790</v>
      </c>
      <c r="G67" s="259">
        <v>776</v>
      </c>
      <c r="N67" s="251" t="s">
        <v>720</v>
      </c>
      <c r="O67" s="263">
        <f t="shared" si="14"/>
        <v>337324</v>
      </c>
      <c r="P67" s="263">
        <f t="shared" si="1"/>
        <v>40508</v>
      </c>
      <c r="Q67" s="263">
        <f t="shared" si="2"/>
        <v>-41236</v>
      </c>
      <c r="R67" s="263">
        <f t="shared" si="3"/>
        <v>-42016</v>
      </c>
      <c r="S67" s="263">
        <f t="shared" si="4"/>
        <v>-41080</v>
      </c>
      <c r="T67" s="263">
        <f t="shared" si="8"/>
        <v>40352</v>
      </c>
      <c r="U67" s="263">
        <f t="shared" si="5"/>
        <v>-1664</v>
      </c>
      <c r="V67" s="263">
        <f t="shared" si="6"/>
        <v>-728</v>
      </c>
      <c r="W67" s="263">
        <f t="shared" si="7"/>
        <v>-884</v>
      </c>
    </row>
    <row r="68" spans="1:23" ht="57.6">
      <c r="A68" s="251" t="s">
        <v>721</v>
      </c>
      <c r="B68" s="259">
        <v>5562</v>
      </c>
      <c r="C68" s="259">
        <v>836</v>
      </c>
      <c r="D68" s="259">
        <v>920</v>
      </c>
      <c r="E68" s="259">
        <v>904</v>
      </c>
      <c r="F68" s="259">
        <v>921</v>
      </c>
      <c r="G68" s="259">
        <v>794</v>
      </c>
      <c r="N68" s="251" t="s">
        <v>721</v>
      </c>
      <c r="O68" s="263">
        <f t="shared" si="14"/>
        <v>289224</v>
      </c>
      <c r="P68" s="263">
        <f t="shared" si="1"/>
        <v>43472</v>
      </c>
      <c r="Q68" s="263">
        <f t="shared" si="2"/>
        <v>-47840</v>
      </c>
      <c r="R68" s="263">
        <f t="shared" si="3"/>
        <v>-47008</v>
      </c>
      <c r="S68" s="263">
        <f t="shared" si="4"/>
        <v>-47892</v>
      </c>
      <c r="T68" s="263">
        <f t="shared" si="8"/>
        <v>41288</v>
      </c>
      <c r="U68" s="263">
        <f t="shared" si="5"/>
        <v>-5720</v>
      </c>
      <c r="V68" s="263">
        <f t="shared" si="6"/>
        <v>-6604</v>
      </c>
      <c r="W68" s="263">
        <f t="shared" si="7"/>
        <v>-6552</v>
      </c>
    </row>
    <row r="69" spans="1:23" ht="72">
      <c r="A69" s="250" t="s">
        <v>722</v>
      </c>
      <c r="B69" s="259">
        <v>23409</v>
      </c>
      <c r="C69" s="259">
        <v>1272</v>
      </c>
      <c r="D69" s="259">
        <v>1352</v>
      </c>
      <c r="E69" s="259">
        <v>1468</v>
      </c>
      <c r="F69" s="259">
        <v>1346</v>
      </c>
      <c r="G69" s="259">
        <v>1233</v>
      </c>
      <c r="N69" s="250" t="s">
        <v>722</v>
      </c>
      <c r="O69" s="263">
        <f t="shared" si="14"/>
        <v>1217268</v>
      </c>
      <c r="P69" s="263">
        <f t="shared" si="1"/>
        <v>66144</v>
      </c>
      <c r="Q69" s="263">
        <f t="shared" si="2"/>
        <v>-70304</v>
      </c>
      <c r="R69" s="263">
        <f t="shared" si="3"/>
        <v>-76336</v>
      </c>
      <c r="S69" s="263">
        <f t="shared" si="4"/>
        <v>-69992</v>
      </c>
      <c r="T69" s="263">
        <f t="shared" si="8"/>
        <v>64116</v>
      </c>
      <c r="U69" s="263">
        <f t="shared" si="5"/>
        <v>-12220</v>
      </c>
      <c r="V69" s="263">
        <f t="shared" si="6"/>
        <v>-5876</v>
      </c>
      <c r="W69" s="263">
        <f t="shared" si="7"/>
        <v>-6188</v>
      </c>
    </row>
    <row r="70" spans="1:23" ht="57.6">
      <c r="A70" s="251" t="s">
        <v>723</v>
      </c>
      <c r="B70" s="259">
        <v>13861</v>
      </c>
      <c r="C70" s="259">
        <v>1165</v>
      </c>
      <c r="D70" s="259">
        <v>1221</v>
      </c>
      <c r="E70" s="259">
        <v>1380</v>
      </c>
      <c r="F70" s="259">
        <v>1206</v>
      </c>
      <c r="G70" s="259">
        <v>1149</v>
      </c>
      <c r="N70" s="295" t="s">
        <v>723</v>
      </c>
      <c r="O70" s="263">
        <f t="shared" si="14"/>
        <v>720772</v>
      </c>
      <c r="P70" s="263">
        <f t="shared" si="1"/>
        <v>60580</v>
      </c>
      <c r="Q70" s="263">
        <f t="shared" si="2"/>
        <v>-63492</v>
      </c>
      <c r="R70" s="263">
        <f t="shared" si="3"/>
        <v>-71760</v>
      </c>
      <c r="S70" s="263">
        <f t="shared" si="4"/>
        <v>-62712</v>
      </c>
      <c r="T70" s="263">
        <f t="shared" si="8"/>
        <v>59748</v>
      </c>
      <c r="U70" s="263">
        <f t="shared" si="5"/>
        <v>-12012</v>
      </c>
      <c r="V70" s="263">
        <f t="shared" si="6"/>
        <v>-2964</v>
      </c>
      <c r="W70" s="263">
        <f t="shared" si="7"/>
        <v>-3744</v>
      </c>
    </row>
    <row r="71" spans="1:23" ht="59.4">
      <c r="A71" s="251" t="s">
        <v>724</v>
      </c>
      <c r="B71" s="259">
        <v>9548</v>
      </c>
      <c r="C71" s="259">
        <v>1460</v>
      </c>
      <c r="D71" s="259">
        <v>1470</v>
      </c>
      <c r="E71" s="259">
        <v>1542</v>
      </c>
      <c r="F71" s="259">
        <v>1465</v>
      </c>
      <c r="G71" s="259">
        <v>1448</v>
      </c>
      <c r="N71" s="295" t="s">
        <v>724</v>
      </c>
      <c r="O71" s="263">
        <f t="shared" si="14"/>
        <v>496496</v>
      </c>
      <c r="P71" s="263">
        <f t="shared" si="1"/>
        <v>75920</v>
      </c>
      <c r="Q71" s="263">
        <f t="shared" si="2"/>
        <v>-76440</v>
      </c>
      <c r="R71" s="263">
        <f t="shared" si="3"/>
        <v>-80184</v>
      </c>
      <c r="S71" s="263">
        <f t="shared" si="4"/>
        <v>-76180</v>
      </c>
      <c r="T71" s="263">
        <f t="shared" si="8"/>
        <v>75296</v>
      </c>
      <c r="U71" s="263">
        <f t="shared" si="5"/>
        <v>-4888</v>
      </c>
      <c r="V71" s="263">
        <f t="shared" si="6"/>
        <v>-884</v>
      </c>
      <c r="W71" s="263">
        <f t="shared" si="7"/>
        <v>-1144</v>
      </c>
    </row>
    <row r="72" spans="1:23" ht="14.4">
      <c r="A72" s="246" t="s">
        <v>683</v>
      </c>
      <c r="B72" s="246"/>
      <c r="C72" s="246"/>
      <c r="D72" s="246"/>
      <c r="E72" s="246"/>
      <c r="F72" s="246"/>
      <c r="G72" s="246"/>
    </row>
    <row r="73" spans="1:23" ht="14.4">
      <c r="A73" s="422" t="s">
        <v>727</v>
      </c>
      <c r="B73" s="423"/>
      <c r="C73" s="423"/>
      <c r="D73" s="423"/>
      <c r="E73" s="423"/>
      <c r="F73" s="423"/>
      <c r="G73" s="423"/>
    </row>
    <row r="74" spans="1:23" ht="14.4">
      <c r="A74" s="422" t="s">
        <v>728</v>
      </c>
      <c r="B74" s="423"/>
      <c r="C74" s="423"/>
      <c r="D74" s="423"/>
      <c r="E74" s="423"/>
      <c r="F74" s="423"/>
      <c r="G74" s="423"/>
    </row>
    <row r="75" spans="1:23" ht="14.4">
      <c r="A75" s="422" t="s">
        <v>729</v>
      </c>
      <c r="B75" s="423"/>
      <c r="C75" s="423"/>
      <c r="D75" s="423"/>
      <c r="E75" s="423"/>
      <c r="F75" s="423"/>
      <c r="G75" s="423"/>
    </row>
    <row r="76" spans="1:23" ht="14.4">
      <c r="A76" s="422" t="s">
        <v>730</v>
      </c>
      <c r="B76" s="423"/>
      <c r="C76" s="423"/>
      <c r="D76" s="423"/>
      <c r="E76" s="423"/>
      <c r="F76" s="423"/>
      <c r="G76" s="423"/>
    </row>
    <row r="77" spans="1:23" ht="14.4">
      <c r="A77" s="422" t="s">
        <v>731</v>
      </c>
      <c r="B77" s="423"/>
      <c r="C77" s="423"/>
      <c r="D77" s="423"/>
      <c r="E77" s="423"/>
      <c r="F77" s="423"/>
      <c r="G77" s="423"/>
    </row>
    <row r="78" spans="1:23" ht="14.4">
      <c r="A78" s="422" t="s">
        <v>732</v>
      </c>
      <c r="B78" s="423"/>
      <c r="C78" s="423"/>
      <c r="D78" s="423"/>
      <c r="E78" s="423"/>
      <c r="F78" s="423"/>
      <c r="G78" s="423"/>
    </row>
  </sheetData>
  <mergeCells count="19">
    <mergeCell ref="N3:N5"/>
    <mergeCell ref="O3:O5"/>
    <mergeCell ref="P3:T3"/>
    <mergeCell ref="P4:P5"/>
    <mergeCell ref="Q4:S4"/>
    <mergeCell ref="T4:T5"/>
    <mergeCell ref="A78:G78"/>
    <mergeCell ref="A1:G1"/>
    <mergeCell ref="A3:A5"/>
    <mergeCell ref="B3:B5"/>
    <mergeCell ref="C3:G3"/>
    <mergeCell ref="C4:C5"/>
    <mergeCell ref="D4:F4"/>
    <mergeCell ref="G4:G5"/>
    <mergeCell ref="A73:G73"/>
    <mergeCell ref="A74:G74"/>
    <mergeCell ref="A75:G75"/>
    <mergeCell ref="A76:G76"/>
    <mergeCell ref="A77:G77"/>
  </mergeCells>
  <conditionalFormatting sqref="U8:U71">
    <cfRule type="colorScale" priority="1">
      <colorScale>
        <cfvo type="min"/>
        <cfvo type="percentile" val="50"/>
        <cfvo type="max"/>
        <color rgb="FFF8696B"/>
        <color rgb="FFFFEB84"/>
        <color rgb="FF63BE7B"/>
      </colorScale>
    </cfRule>
  </conditionalFormatting>
  <conditionalFormatting sqref="V8:V71">
    <cfRule type="colorScale" priority="2">
      <colorScale>
        <cfvo type="min"/>
        <cfvo type="percentile" val="50"/>
        <cfvo type="max"/>
        <color rgb="FFF8696B"/>
        <color rgb="FFFFEB84"/>
        <color rgb="FF63BE7B"/>
      </colorScale>
    </cfRule>
  </conditionalFormatting>
  <conditionalFormatting sqref="W5:W71">
    <cfRule type="colorScale" priority="3">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39DFB-AFB2-4138-B09A-12B77597C3D2}">
  <dimension ref="A1:W41"/>
  <sheetViews>
    <sheetView topLeftCell="M1" workbookViewId="0">
      <selection activeCell="Y9" sqref="Y9"/>
    </sheetView>
  </sheetViews>
  <sheetFormatPr defaultRowHeight="13.2"/>
  <cols>
    <col min="1" max="1" width="18.33203125" customWidth="1"/>
    <col min="2" max="2" width="11.77734375" bestFit="1" customWidth="1"/>
    <col min="3" max="7" width="9.6640625" bestFit="1" customWidth="1"/>
    <col min="14" max="14" width="21.77734375" customWidth="1"/>
    <col min="15" max="15" width="12.33203125" bestFit="1" customWidth="1"/>
    <col min="16" max="16" width="9.77734375" bestFit="1" customWidth="1"/>
    <col min="17" max="17" width="10.77734375" bestFit="1" customWidth="1"/>
    <col min="18" max="18" width="9.77734375" bestFit="1" customWidth="1"/>
    <col min="19" max="19" width="10.77734375" bestFit="1" customWidth="1"/>
    <col min="20" max="20" width="10.44140625" bestFit="1" customWidth="1"/>
    <col min="21" max="22" width="9.77734375" customWidth="1"/>
    <col min="23" max="23" width="10.77734375" bestFit="1" customWidth="1"/>
  </cols>
  <sheetData>
    <row r="1" spans="1:23" ht="14.4">
      <c r="A1" s="428" t="s">
        <v>733</v>
      </c>
      <c r="B1" s="429"/>
      <c r="C1" s="429"/>
      <c r="D1" s="429"/>
      <c r="E1" s="429"/>
      <c r="F1" s="429"/>
      <c r="G1" s="429"/>
    </row>
    <row r="2" spans="1:23" ht="14.4">
      <c r="A2" s="253" t="s">
        <v>683</v>
      </c>
      <c r="B2" s="252"/>
      <c r="C2" s="252"/>
      <c r="D2" s="252"/>
      <c r="E2" s="252"/>
      <c r="F2" s="252"/>
      <c r="G2" s="252"/>
    </row>
    <row r="3" spans="1:23" ht="14.7" customHeight="1">
      <c r="A3" s="430" t="s">
        <v>734</v>
      </c>
      <c r="B3" s="431" t="s">
        <v>685</v>
      </c>
      <c r="C3" s="431" t="s">
        <v>686</v>
      </c>
      <c r="D3" s="432"/>
      <c r="E3" s="432"/>
      <c r="F3" s="432"/>
      <c r="G3" s="432"/>
      <c r="N3" s="430" t="s">
        <v>734</v>
      </c>
      <c r="O3" s="431" t="s">
        <v>685</v>
      </c>
      <c r="P3" s="431" t="s">
        <v>687</v>
      </c>
      <c r="Q3" s="432"/>
      <c r="R3" s="432"/>
      <c r="S3" s="432"/>
      <c r="T3" s="432"/>
      <c r="U3" s="284"/>
      <c r="V3" s="284"/>
    </row>
    <row r="4" spans="1:23" ht="14.7" customHeight="1">
      <c r="A4" s="429"/>
      <c r="B4" s="432"/>
      <c r="C4" s="431" t="s">
        <v>78</v>
      </c>
      <c r="D4" s="431" t="s">
        <v>688</v>
      </c>
      <c r="E4" s="432"/>
      <c r="F4" s="432"/>
      <c r="G4" s="431" t="s">
        <v>689</v>
      </c>
      <c r="N4" s="429"/>
      <c r="O4" s="432"/>
      <c r="P4" s="431" t="s">
        <v>78</v>
      </c>
      <c r="Q4" s="431" t="s">
        <v>688</v>
      </c>
      <c r="R4" s="432"/>
      <c r="S4" s="432"/>
      <c r="T4" s="431" t="s">
        <v>689</v>
      </c>
      <c r="U4" s="254"/>
      <c r="V4" s="254"/>
    </row>
    <row r="5" spans="1:23" ht="72">
      <c r="A5" s="429"/>
      <c r="B5" s="432"/>
      <c r="C5" s="432"/>
      <c r="D5" s="254" t="s">
        <v>78</v>
      </c>
      <c r="E5" s="254" t="s">
        <v>690</v>
      </c>
      <c r="F5" s="254" t="s">
        <v>691</v>
      </c>
      <c r="G5" s="432"/>
      <c r="N5" s="429"/>
      <c r="O5" s="432"/>
      <c r="P5" s="432"/>
      <c r="Q5" s="254" t="s">
        <v>78</v>
      </c>
      <c r="R5" s="254" t="s">
        <v>690</v>
      </c>
      <c r="S5" s="254" t="s">
        <v>691</v>
      </c>
      <c r="T5" s="432"/>
      <c r="U5" s="242" t="s">
        <v>692</v>
      </c>
      <c r="V5" s="242" t="s">
        <v>693</v>
      </c>
      <c r="W5" s="242" t="s">
        <v>694</v>
      </c>
    </row>
    <row r="6" spans="1:23" ht="14.4">
      <c r="A6" s="253" t="s">
        <v>683</v>
      </c>
      <c r="B6" s="252"/>
      <c r="C6" s="252"/>
      <c r="D6" s="252"/>
      <c r="E6" s="252"/>
      <c r="F6" s="252"/>
      <c r="G6" s="252"/>
      <c r="N6" s="253" t="s">
        <v>683</v>
      </c>
    </row>
    <row r="7" spans="1:23" ht="28.8">
      <c r="A7" s="255" t="s">
        <v>696</v>
      </c>
      <c r="B7" s="261">
        <v>114316</v>
      </c>
      <c r="C7" s="261">
        <v>998</v>
      </c>
      <c r="D7" s="261">
        <v>1229</v>
      </c>
      <c r="E7" s="261">
        <v>1288</v>
      </c>
      <c r="F7" s="261">
        <v>1223</v>
      </c>
      <c r="G7" s="261">
        <v>931</v>
      </c>
      <c r="N7" s="255" t="s">
        <v>696</v>
      </c>
      <c r="O7" s="263">
        <f t="shared" ref="O7:O36" si="0">B7*52</f>
        <v>5944432</v>
      </c>
      <c r="P7" s="263">
        <f t="shared" ref="P7:P36" si="1">C7*52</f>
        <v>51896</v>
      </c>
      <c r="Q7" s="263">
        <f t="shared" ref="Q7:Q36" si="2">D7*52</f>
        <v>63908</v>
      </c>
      <c r="R7" s="263">
        <f t="shared" ref="R7:R36" si="3">E7*52</f>
        <v>66976</v>
      </c>
      <c r="S7" s="263">
        <f t="shared" ref="S7:S36" si="4">F7*52</f>
        <v>63596</v>
      </c>
      <c r="T7" s="263">
        <f>(G7*52)*(-1)</f>
        <v>-48412</v>
      </c>
      <c r="U7" s="263">
        <f>R7+T7</f>
        <v>18564</v>
      </c>
      <c r="V7" s="263">
        <f>S7+T7</f>
        <v>15184</v>
      </c>
      <c r="W7" s="263">
        <f>Q7+T7</f>
        <v>15496</v>
      </c>
    </row>
    <row r="8" spans="1:23" ht="57.6">
      <c r="A8" s="256" t="s">
        <v>735</v>
      </c>
      <c r="B8" s="261">
        <v>51166</v>
      </c>
      <c r="C8" s="261">
        <v>1390</v>
      </c>
      <c r="D8" s="261">
        <v>1411</v>
      </c>
      <c r="E8" s="261">
        <v>1563</v>
      </c>
      <c r="F8" s="261">
        <v>1395</v>
      </c>
      <c r="G8" s="261">
        <v>1377</v>
      </c>
      <c r="N8" s="256" t="s">
        <v>735</v>
      </c>
      <c r="O8" s="263">
        <f t="shared" si="0"/>
        <v>2660632</v>
      </c>
      <c r="P8" s="263">
        <f t="shared" si="1"/>
        <v>72280</v>
      </c>
      <c r="Q8" s="263">
        <f t="shared" si="2"/>
        <v>73372</v>
      </c>
      <c r="R8" s="263">
        <f t="shared" si="3"/>
        <v>81276</v>
      </c>
      <c r="S8" s="263">
        <f t="shared" si="4"/>
        <v>72540</v>
      </c>
      <c r="T8" s="263">
        <f t="shared" ref="T8:T36" si="5">(G8*52)*(-1)</f>
        <v>-71604</v>
      </c>
      <c r="U8" s="263">
        <f t="shared" ref="U8:U36" si="6">R8+T8</f>
        <v>9672</v>
      </c>
      <c r="V8" s="263">
        <f t="shared" ref="V8:V36" si="7">S8+T8</f>
        <v>936</v>
      </c>
      <c r="W8" s="263">
        <f t="shared" ref="W8:W36" si="8">Q8+T8</f>
        <v>1768</v>
      </c>
    </row>
    <row r="9" spans="1:23" ht="72">
      <c r="A9" s="257" t="s">
        <v>736</v>
      </c>
      <c r="B9" s="261">
        <v>21529</v>
      </c>
      <c r="C9" s="261">
        <v>1482</v>
      </c>
      <c r="D9" s="261">
        <v>1655</v>
      </c>
      <c r="E9" s="261">
        <v>1890</v>
      </c>
      <c r="F9" s="261">
        <v>1622</v>
      </c>
      <c r="G9" s="261">
        <v>1444</v>
      </c>
      <c r="N9" s="257" t="s">
        <v>736</v>
      </c>
      <c r="O9" s="263">
        <f t="shared" si="0"/>
        <v>1119508</v>
      </c>
      <c r="P9" s="263">
        <f t="shared" si="1"/>
        <v>77064</v>
      </c>
      <c r="Q9" s="263">
        <f t="shared" si="2"/>
        <v>86060</v>
      </c>
      <c r="R9" s="263">
        <f t="shared" si="3"/>
        <v>98280</v>
      </c>
      <c r="S9" s="263">
        <f t="shared" si="4"/>
        <v>84344</v>
      </c>
      <c r="T9" s="263">
        <f t="shared" si="5"/>
        <v>-75088</v>
      </c>
      <c r="U9" s="263">
        <f t="shared" si="6"/>
        <v>23192</v>
      </c>
      <c r="V9" s="263">
        <f t="shared" si="7"/>
        <v>9256</v>
      </c>
      <c r="W9" s="263">
        <f t="shared" si="8"/>
        <v>10972</v>
      </c>
    </row>
    <row r="10" spans="1:23" ht="28.8">
      <c r="A10" s="258" t="s">
        <v>737</v>
      </c>
      <c r="B10" s="261">
        <v>13942</v>
      </c>
      <c r="C10" s="261">
        <v>1546</v>
      </c>
      <c r="D10" s="261">
        <v>1698</v>
      </c>
      <c r="E10" s="261">
        <v>1905</v>
      </c>
      <c r="F10" s="261">
        <v>1646</v>
      </c>
      <c r="G10" s="261">
        <v>1510</v>
      </c>
      <c r="N10" s="258" t="s">
        <v>737</v>
      </c>
      <c r="O10" s="263">
        <f t="shared" si="0"/>
        <v>724984</v>
      </c>
      <c r="P10" s="263">
        <f t="shared" si="1"/>
        <v>80392</v>
      </c>
      <c r="Q10" s="263">
        <f t="shared" si="2"/>
        <v>88296</v>
      </c>
      <c r="R10" s="263">
        <f t="shared" si="3"/>
        <v>99060</v>
      </c>
      <c r="S10" s="263">
        <f t="shared" si="4"/>
        <v>85592</v>
      </c>
      <c r="T10" s="263">
        <f t="shared" si="5"/>
        <v>-78520</v>
      </c>
      <c r="U10" s="263">
        <f t="shared" si="6"/>
        <v>20540</v>
      </c>
      <c r="V10" s="263">
        <f t="shared" si="7"/>
        <v>7072</v>
      </c>
      <c r="W10" s="263">
        <f t="shared" si="8"/>
        <v>9776</v>
      </c>
    </row>
    <row r="11" spans="1:23" ht="57.6">
      <c r="A11" s="258" t="s">
        <v>738</v>
      </c>
      <c r="B11" s="261">
        <v>7587</v>
      </c>
      <c r="C11" s="261">
        <v>1382</v>
      </c>
      <c r="D11" s="261">
        <v>1585</v>
      </c>
      <c r="E11" s="261">
        <v>1830</v>
      </c>
      <c r="F11" s="261">
        <v>1565</v>
      </c>
      <c r="G11" s="261">
        <v>1346</v>
      </c>
      <c r="N11" s="258" t="s">
        <v>738</v>
      </c>
      <c r="O11" s="263">
        <f t="shared" si="0"/>
        <v>394524</v>
      </c>
      <c r="P11" s="263">
        <f t="shared" si="1"/>
        <v>71864</v>
      </c>
      <c r="Q11" s="263">
        <f t="shared" si="2"/>
        <v>82420</v>
      </c>
      <c r="R11" s="263">
        <f t="shared" si="3"/>
        <v>95160</v>
      </c>
      <c r="S11" s="263">
        <f t="shared" si="4"/>
        <v>81380</v>
      </c>
      <c r="T11" s="263">
        <f t="shared" si="5"/>
        <v>-69992</v>
      </c>
      <c r="U11" s="263">
        <f t="shared" si="6"/>
        <v>25168</v>
      </c>
      <c r="V11" s="263">
        <f t="shared" si="7"/>
        <v>11388</v>
      </c>
      <c r="W11" s="263">
        <f t="shared" si="8"/>
        <v>12428</v>
      </c>
    </row>
    <row r="12" spans="1:23" ht="43.2">
      <c r="A12" s="257" t="s">
        <v>739</v>
      </c>
      <c r="B12" s="261">
        <v>29637</v>
      </c>
      <c r="C12" s="261">
        <v>1335</v>
      </c>
      <c r="D12" s="261">
        <v>1347</v>
      </c>
      <c r="E12" s="261">
        <v>1425</v>
      </c>
      <c r="F12" s="261">
        <v>1342</v>
      </c>
      <c r="G12" s="261">
        <v>1325</v>
      </c>
      <c r="N12" s="257" t="s">
        <v>739</v>
      </c>
      <c r="O12" s="263">
        <f t="shared" si="0"/>
        <v>1541124</v>
      </c>
      <c r="P12" s="263">
        <f t="shared" si="1"/>
        <v>69420</v>
      </c>
      <c r="Q12" s="263">
        <f t="shared" si="2"/>
        <v>70044</v>
      </c>
      <c r="R12" s="263">
        <f t="shared" si="3"/>
        <v>74100</v>
      </c>
      <c r="S12" s="263">
        <f t="shared" si="4"/>
        <v>69784</v>
      </c>
      <c r="T12" s="263">
        <f t="shared" si="5"/>
        <v>-68900</v>
      </c>
      <c r="U12" s="263">
        <f t="shared" si="6"/>
        <v>5200</v>
      </c>
      <c r="V12" s="263">
        <f t="shared" si="7"/>
        <v>884</v>
      </c>
      <c r="W12" s="263">
        <f t="shared" si="8"/>
        <v>1144</v>
      </c>
    </row>
    <row r="13" spans="1:23" ht="43.2">
      <c r="A13" s="258" t="s">
        <v>740</v>
      </c>
      <c r="B13" s="261">
        <v>5267</v>
      </c>
      <c r="C13" s="261">
        <v>1660</v>
      </c>
      <c r="D13" s="261">
        <v>1643</v>
      </c>
      <c r="E13" s="261">
        <v>1740</v>
      </c>
      <c r="F13" s="261">
        <v>1574</v>
      </c>
      <c r="G13" s="261">
        <v>1663</v>
      </c>
      <c r="N13" s="258" t="s">
        <v>740</v>
      </c>
      <c r="O13" s="263">
        <f t="shared" si="0"/>
        <v>273884</v>
      </c>
      <c r="P13" s="263">
        <f t="shared" si="1"/>
        <v>86320</v>
      </c>
      <c r="Q13" s="263">
        <f t="shared" si="2"/>
        <v>85436</v>
      </c>
      <c r="R13" s="263">
        <f t="shared" si="3"/>
        <v>90480</v>
      </c>
      <c r="S13" s="263">
        <f t="shared" si="4"/>
        <v>81848</v>
      </c>
      <c r="T13" s="263">
        <f t="shared" si="5"/>
        <v>-86476</v>
      </c>
      <c r="U13" s="263">
        <f t="shared" si="6"/>
        <v>4004</v>
      </c>
      <c r="V13" s="263">
        <f t="shared" si="7"/>
        <v>-4628</v>
      </c>
      <c r="W13" s="263">
        <f t="shared" si="8"/>
        <v>-1040</v>
      </c>
    </row>
    <row r="14" spans="1:23" ht="43.2">
      <c r="A14" s="258" t="s">
        <v>741</v>
      </c>
      <c r="B14" s="261">
        <v>2985</v>
      </c>
      <c r="C14" s="261">
        <v>1641</v>
      </c>
      <c r="D14" s="261">
        <v>1759</v>
      </c>
      <c r="E14" s="261">
        <v>1724</v>
      </c>
      <c r="F14" s="261">
        <v>1763</v>
      </c>
      <c r="G14" s="261">
        <v>1600</v>
      </c>
      <c r="N14" s="258" t="s">
        <v>741</v>
      </c>
      <c r="O14" s="263">
        <f t="shared" si="0"/>
        <v>155220</v>
      </c>
      <c r="P14" s="263">
        <f t="shared" si="1"/>
        <v>85332</v>
      </c>
      <c r="Q14" s="263">
        <f t="shared" si="2"/>
        <v>91468</v>
      </c>
      <c r="R14" s="263">
        <f t="shared" si="3"/>
        <v>89648</v>
      </c>
      <c r="S14" s="263">
        <f t="shared" si="4"/>
        <v>91676</v>
      </c>
      <c r="T14" s="263">
        <f t="shared" si="5"/>
        <v>-83200</v>
      </c>
      <c r="U14" s="263">
        <f t="shared" si="6"/>
        <v>6448</v>
      </c>
      <c r="V14" s="263">
        <f t="shared" si="7"/>
        <v>8476</v>
      </c>
      <c r="W14" s="263">
        <f t="shared" si="8"/>
        <v>8268</v>
      </c>
    </row>
    <row r="15" spans="1:23" ht="57.6">
      <c r="A15" s="258" t="s">
        <v>742</v>
      </c>
      <c r="B15" s="261">
        <v>1391</v>
      </c>
      <c r="C15" s="261">
        <v>1407</v>
      </c>
      <c r="D15" s="261">
        <v>1449</v>
      </c>
      <c r="E15" s="261" t="s">
        <v>707</v>
      </c>
      <c r="F15" s="261">
        <v>1466</v>
      </c>
      <c r="G15" s="261">
        <v>1392</v>
      </c>
      <c r="N15" s="258" t="s">
        <v>742</v>
      </c>
      <c r="O15" s="263">
        <f t="shared" si="0"/>
        <v>72332</v>
      </c>
      <c r="P15" s="263">
        <f t="shared" si="1"/>
        <v>73164</v>
      </c>
      <c r="Q15" s="263">
        <f t="shared" si="2"/>
        <v>75348</v>
      </c>
      <c r="R15" s="263" t="e">
        <f t="shared" si="3"/>
        <v>#VALUE!</v>
      </c>
      <c r="S15" s="263">
        <f t="shared" si="4"/>
        <v>76232</v>
      </c>
      <c r="T15" s="263">
        <f t="shared" si="5"/>
        <v>-72384</v>
      </c>
      <c r="U15" s="263" t="e">
        <f t="shared" si="6"/>
        <v>#VALUE!</v>
      </c>
      <c r="V15" s="263">
        <f t="shared" si="7"/>
        <v>3848</v>
      </c>
      <c r="W15" s="263">
        <f t="shared" si="8"/>
        <v>2964</v>
      </c>
    </row>
    <row r="16" spans="1:23" ht="43.2">
      <c r="A16" s="258" t="s">
        <v>743</v>
      </c>
      <c r="B16" s="261">
        <v>2276</v>
      </c>
      <c r="C16" s="261">
        <v>1065</v>
      </c>
      <c r="D16" s="261">
        <v>1185</v>
      </c>
      <c r="E16" s="261">
        <v>1004</v>
      </c>
      <c r="F16" s="261">
        <v>1210</v>
      </c>
      <c r="G16" s="261">
        <v>981</v>
      </c>
      <c r="N16" s="258" t="s">
        <v>743</v>
      </c>
      <c r="O16" s="263">
        <f t="shared" si="0"/>
        <v>118352</v>
      </c>
      <c r="P16" s="263">
        <f t="shared" si="1"/>
        <v>55380</v>
      </c>
      <c r="Q16" s="263">
        <f t="shared" si="2"/>
        <v>61620</v>
      </c>
      <c r="R16" s="263">
        <f t="shared" si="3"/>
        <v>52208</v>
      </c>
      <c r="S16" s="263">
        <f t="shared" si="4"/>
        <v>62920</v>
      </c>
      <c r="T16" s="263">
        <f t="shared" si="5"/>
        <v>-51012</v>
      </c>
      <c r="U16" s="263">
        <f t="shared" si="6"/>
        <v>1196</v>
      </c>
      <c r="V16" s="263">
        <f t="shared" si="7"/>
        <v>11908</v>
      </c>
      <c r="W16" s="263">
        <f t="shared" si="8"/>
        <v>10608</v>
      </c>
    </row>
    <row r="17" spans="1:23" ht="28.8">
      <c r="A17" s="258" t="s">
        <v>744</v>
      </c>
      <c r="B17" s="261">
        <v>1401</v>
      </c>
      <c r="C17" s="261">
        <v>1586</v>
      </c>
      <c r="D17" s="261">
        <v>1977</v>
      </c>
      <c r="E17" s="261">
        <v>1560</v>
      </c>
      <c r="F17" s="261">
        <v>2004</v>
      </c>
      <c r="G17" s="261">
        <v>1146</v>
      </c>
      <c r="N17" s="258" t="s">
        <v>744</v>
      </c>
      <c r="O17" s="263">
        <f t="shared" si="0"/>
        <v>72852</v>
      </c>
      <c r="P17" s="263">
        <f t="shared" si="1"/>
        <v>82472</v>
      </c>
      <c r="Q17" s="263">
        <f t="shared" si="2"/>
        <v>102804</v>
      </c>
      <c r="R17" s="263">
        <f t="shared" si="3"/>
        <v>81120</v>
      </c>
      <c r="S17" s="263">
        <f t="shared" si="4"/>
        <v>104208</v>
      </c>
      <c r="T17" s="263">
        <f t="shared" si="5"/>
        <v>-59592</v>
      </c>
      <c r="U17" s="263">
        <f t="shared" si="6"/>
        <v>21528</v>
      </c>
      <c r="V17" s="263">
        <f t="shared" si="7"/>
        <v>44616</v>
      </c>
      <c r="W17" s="263">
        <f t="shared" si="8"/>
        <v>43212</v>
      </c>
    </row>
    <row r="18" spans="1:23" ht="57.6">
      <c r="A18" s="258" t="s">
        <v>745</v>
      </c>
      <c r="B18" s="261">
        <v>7124</v>
      </c>
      <c r="C18" s="261">
        <v>1138</v>
      </c>
      <c r="D18" s="261">
        <v>1173</v>
      </c>
      <c r="E18" s="261">
        <v>1154</v>
      </c>
      <c r="F18" s="261">
        <v>1173</v>
      </c>
      <c r="G18" s="261">
        <v>1005</v>
      </c>
      <c r="N18" s="258" t="s">
        <v>745</v>
      </c>
      <c r="O18" s="263">
        <f t="shared" si="0"/>
        <v>370448</v>
      </c>
      <c r="P18" s="263">
        <f t="shared" si="1"/>
        <v>59176</v>
      </c>
      <c r="Q18" s="263">
        <f t="shared" si="2"/>
        <v>60996</v>
      </c>
      <c r="R18" s="263">
        <f t="shared" si="3"/>
        <v>60008</v>
      </c>
      <c r="S18" s="263">
        <f t="shared" si="4"/>
        <v>60996</v>
      </c>
      <c r="T18" s="263">
        <f t="shared" si="5"/>
        <v>-52260</v>
      </c>
      <c r="U18" s="263">
        <f t="shared" si="6"/>
        <v>7748</v>
      </c>
      <c r="V18" s="263">
        <f t="shared" si="7"/>
        <v>8736</v>
      </c>
      <c r="W18" s="263">
        <f t="shared" si="8"/>
        <v>8736</v>
      </c>
    </row>
    <row r="19" spans="1:23" ht="72">
      <c r="A19" s="258" t="s">
        <v>746</v>
      </c>
      <c r="B19" s="261">
        <v>1707</v>
      </c>
      <c r="C19" s="261">
        <v>1229</v>
      </c>
      <c r="D19" s="261">
        <v>1322</v>
      </c>
      <c r="E19" s="261" t="s">
        <v>707</v>
      </c>
      <c r="F19" s="261">
        <v>1346</v>
      </c>
      <c r="G19" s="261">
        <v>1209</v>
      </c>
      <c r="N19" s="258" t="s">
        <v>746</v>
      </c>
      <c r="O19" s="263">
        <f t="shared" si="0"/>
        <v>88764</v>
      </c>
      <c r="P19" s="263">
        <f t="shared" si="1"/>
        <v>63908</v>
      </c>
      <c r="Q19" s="263">
        <f t="shared" si="2"/>
        <v>68744</v>
      </c>
      <c r="R19" s="263" t="e">
        <f t="shared" si="3"/>
        <v>#VALUE!</v>
      </c>
      <c r="S19" s="263">
        <f t="shared" si="4"/>
        <v>69992</v>
      </c>
      <c r="T19" s="263">
        <f t="shared" si="5"/>
        <v>-62868</v>
      </c>
      <c r="U19" s="263" t="e">
        <f t="shared" si="6"/>
        <v>#VALUE!</v>
      </c>
      <c r="V19" s="263">
        <f t="shared" si="7"/>
        <v>7124</v>
      </c>
      <c r="W19" s="263">
        <f t="shared" si="8"/>
        <v>5876</v>
      </c>
    </row>
    <row r="20" spans="1:23" ht="57.6">
      <c r="A20" s="258" t="s">
        <v>747</v>
      </c>
      <c r="B20" s="261">
        <v>7485</v>
      </c>
      <c r="C20" s="261">
        <v>1273</v>
      </c>
      <c r="D20" s="261">
        <v>1385</v>
      </c>
      <c r="E20" s="261">
        <v>1273</v>
      </c>
      <c r="F20" s="261">
        <v>1391</v>
      </c>
      <c r="G20" s="261">
        <v>1002</v>
      </c>
      <c r="N20" s="258" t="s">
        <v>747</v>
      </c>
      <c r="O20" s="263">
        <f t="shared" si="0"/>
        <v>389220</v>
      </c>
      <c r="P20" s="263">
        <f t="shared" si="1"/>
        <v>66196</v>
      </c>
      <c r="Q20" s="263">
        <f t="shared" si="2"/>
        <v>72020</v>
      </c>
      <c r="R20" s="263">
        <f t="shared" si="3"/>
        <v>66196</v>
      </c>
      <c r="S20" s="263">
        <f t="shared" si="4"/>
        <v>72332</v>
      </c>
      <c r="T20" s="263">
        <f t="shared" si="5"/>
        <v>-52104</v>
      </c>
      <c r="U20" s="263">
        <f t="shared" si="6"/>
        <v>14092</v>
      </c>
      <c r="V20" s="263">
        <f t="shared" si="7"/>
        <v>20228</v>
      </c>
      <c r="W20" s="263">
        <f t="shared" si="8"/>
        <v>19916</v>
      </c>
    </row>
    <row r="21" spans="1:23" ht="28.8">
      <c r="A21" s="257" t="s">
        <v>748</v>
      </c>
      <c r="B21" s="261">
        <v>14630</v>
      </c>
      <c r="C21" s="261">
        <v>644</v>
      </c>
      <c r="D21" s="261">
        <v>746</v>
      </c>
      <c r="E21" s="261">
        <v>689</v>
      </c>
      <c r="F21" s="261">
        <v>754</v>
      </c>
      <c r="G21" s="261">
        <v>618</v>
      </c>
      <c r="N21" s="257" t="s">
        <v>748</v>
      </c>
      <c r="O21" s="263">
        <f t="shared" si="0"/>
        <v>760760</v>
      </c>
      <c r="P21" s="263">
        <f t="shared" si="1"/>
        <v>33488</v>
      </c>
      <c r="Q21" s="263">
        <f t="shared" si="2"/>
        <v>38792</v>
      </c>
      <c r="R21" s="263">
        <f t="shared" si="3"/>
        <v>35828</v>
      </c>
      <c r="S21" s="263">
        <f t="shared" si="4"/>
        <v>39208</v>
      </c>
      <c r="T21" s="263">
        <f t="shared" si="5"/>
        <v>-32136</v>
      </c>
      <c r="U21" s="263">
        <f t="shared" si="6"/>
        <v>3692</v>
      </c>
      <c r="V21" s="263">
        <f t="shared" si="7"/>
        <v>7072</v>
      </c>
      <c r="W21" s="263">
        <f t="shared" si="8"/>
        <v>6656</v>
      </c>
    </row>
    <row r="22" spans="1:23" ht="43.2">
      <c r="A22" s="258" t="s">
        <v>749</v>
      </c>
      <c r="B22" s="261">
        <v>3269</v>
      </c>
      <c r="C22" s="261">
        <v>637</v>
      </c>
      <c r="D22" s="261">
        <v>655</v>
      </c>
      <c r="E22" s="261">
        <v>654</v>
      </c>
      <c r="F22" s="261">
        <v>655</v>
      </c>
      <c r="G22" s="261">
        <v>623</v>
      </c>
      <c r="N22" s="258" t="s">
        <v>749</v>
      </c>
      <c r="O22" s="263">
        <f t="shared" si="0"/>
        <v>169988</v>
      </c>
      <c r="P22" s="263">
        <f t="shared" si="1"/>
        <v>33124</v>
      </c>
      <c r="Q22" s="263">
        <f t="shared" si="2"/>
        <v>34060</v>
      </c>
      <c r="R22" s="263">
        <f t="shared" si="3"/>
        <v>34008</v>
      </c>
      <c r="S22" s="263">
        <f t="shared" si="4"/>
        <v>34060</v>
      </c>
      <c r="T22" s="263">
        <f t="shared" si="5"/>
        <v>-32396</v>
      </c>
      <c r="U22" s="263">
        <f t="shared" si="6"/>
        <v>1612</v>
      </c>
      <c r="V22" s="263">
        <f t="shared" si="7"/>
        <v>1664</v>
      </c>
      <c r="W22" s="263">
        <f t="shared" si="8"/>
        <v>1664</v>
      </c>
    </row>
    <row r="23" spans="1:23" ht="43.2">
      <c r="A23" s="258" t="s">
        <v>750</v>
      </c>
      <c r="B23" s="261">
        <v>2608</v>
      </c>
      <c r="C23" s="261">
        <v>998</v>
      </c>
      <c r="D23" s="261">
        <v>1161</v>
      </c>
      <c r="E23" s="261" t="s">
        <v>707</v>
      </c>
      <c r="F23" s="261">
        <v>1169</v>
      </c>
      <c r="G23" s="261">
        <v>903</v>
      </c>
      <c r="N23" s="258" t="s">
        <v>750</v>
      </c>
      <c r="O23" s="263">
        <f t="shared" si="0"/>
        <v>135616</v>
      </c>
      <c r="P23" s="263">
        <f t="shared" si="1"/>
        <v>51896</v>
      </c>
      <c r="Q23" s="263">
        <f t="shared" si="2"/>
        <v>60372</v>
      </c>
      <c r="R23" s="263" t="e">
        <f t="shared" si="3"/>
        <v>#VALUE!</v>
      </c>
      <c r="S23" s="263">
        <f t="shared" si="4"/>
        <v>60788</v>
      </c>
      <c r="T23" s="263">
        <f t="shared" si="5"/>
        <v>-46956</v>
      </c>
      <c r="U23" s="263" t="e">
        <f t="shared" si="6"/>
        <v>#VALUE!</v>
      </c>
      <c r="V23" s="263">
        <f t="shared" si="7"/>
        <v>13832</v>
      </c>
      <c r="W23" s="263">
        <f t="shared" si="8"/>
        <v>13416</v>
      </c>
    </row>
    <row r="24" spans="1:23" ht="57.6">
      <c r="A24" s="258" t="s">
        <v>751</v>
      </c>
      <c r="B24" s="261">
        <v>3863</v>
      </c>
      <c r="C24" s="261">
        <v>573</v>
      </c>
      <c r="D24" s="261">
        <v>623</v>
      </c>
      <c r="E24" s="261" t="s">
        <v>707</v>
      </c>
      <c r="F24" s="261">
        <v>624</v>
      </c>
      <c r="G24" s="261">
        <v>569</v>
      </c>
      <c r="N24" s="258" t="s">
        <v>751</v>
      </c>
      <c r="O24" s="263">
        <f t="shared" si="0"/>
        <v>200876</v>
      </c>
      <c r="P24" s="263">
        <f t="shared" si="1"/>
        <v>29796</v>
      </c>
      <c r="Q24" s="263">
        <f t="shared" si="2"/>
        <v>32396</v>
      </c>
      <c r="R24" s="263" t="e">
        <f t="shared" si="3"/>
        <v>#VALUE!</v>
      </c>
      <c r="S24" s="263">
        <f t="shared" si="4"/>
        <v>32448</v>
      </c>
      <c r="T24" s="263">
        <f t="shared" si="5"/>
        <v>-29588</v>
      </c>
      <c r="U24" s="263" t="e">
        <f t="shared" si="6"/>
        <v>#VALUE!</v>
      </c>
      <c r="V24" s="263">
        <f t="shared" si="7"/>
        <v>2860</v>
      </c>
      <c r="W24" s="263">
        <f t="shared" si="8"/>
        <v>2808</v>
      </c>
    </row>
    <row r="25" spans="1:23" ht="72">
      <c r="A25" s="258" t="s">
        <v>752</v>
      </c>
      <c r="B25" s="261">
        <v>3347</v>
      </c>
      <c r="C25" s="261">
        <v>623</v>
      </c>
      <c r="D25" s="261">
        <v>817</v>
      </c>
      <c r="E25" s="261" t="s">
        <v>707</v>
      </c>
      <c r="F25" s="261">
        <v>835</v>
      </c>
      <c r="G25" s="261">
        <v>616</v>
      </c>
      <c r="N25" s="258" t="s">
        <v>752</v>
      </c>
      <c r="O25" s="263">
        <f t="shared" si="0"/>
        <v>174044</v>
      </c>
      <c r="P25" s="263">
        <f t="shared" si="1"/>
        <v>32396</v>
      </c>
      <c r="Q25" s="263">
        <f t="shared" si="2"/>
        <v>42484</v>
      </c>
      <c r="R25" s="263" t="e">
        <f t="shared" si="3"/>
        <v>#VALUE!</v>
      </c>
      <c r="S25" s="263">
        <f t="shared" si="4"/>
        <v>43420</v>
      </c>
      <c r="T25" s="263">
        <f t="shared" si="5"/>
        <v>-32032</v>
      </c>
      <c r="U25" s="263" t="e">
        <f t="shared" si="6"/>
        <v>#VALUE!</v>
      </c>
      <c r="V25" s="263">
        <f t="shared" si="7"/>
        <v>11388</v>
      </c>
      <c r="W25" s="263">
        <f t="shared" si="8"/>
        <v>10452</v>
      </c>
    </row>
    <row r="26" spans="1:23" ht="43.2">
      <c r="A26" s="258" t="s">
        <v>753</v>
      </c>
      <c r="B26" s="261">
        <v>1543</v>
      </c>
      <c r="C26" s="261">
        <v>618</v>
      </c>
      <c r="D26" s="261">
        <v>654</v>
      </c>
      <c r="E26" s="261" t="s">
        <v>707</v>
      </c>
      <c r="F26" s="261">
        <v>655</v>
      </c>
      <c r="G26" s="261">
        <v>607</v>
      </c>
      <c r="N26" s="258" t="s">
        <v>753</v>
      </c>
      <c r="O26" s="263">
        <f t="shared" si="0"/>
        <v>80236</v>
      </c>
      <c r="P26" s="263">
        <f t="shared" si="1"/>
        <v>32136</v>
      </c>
      <c r="Q26" s="263">
        <f t="shared" si="2"/>
        <v>34008</v>
      </c>
      <c r="R26" s="263" t="e">
        <f t="shared" si="3"/>
        <v>#VALUE!</v>
      </c>
      <c r="S26" s="263">
        <f t="shared" si="4"/>
        <v>34060</v>
      </c>
      <c r="T26" s="263">
        <f t="shared" si="5"/>
        <v>-31564</v>
      </c>
      <c r="U26" s="263" t="e">
        <f t="shared" si="6"/>
        <v>#VALUE!</v>
      </c>
      <c r="V26" s="263">
        <f t="shared" si="7"/>
        <v>2496</v>
      </c>
      <c r="W26" s="263">
        <f t="shared" si="8"/>
        <v>2444</v>
      </c>
    </row>
    <row r="27" spans="1:23" ht="28.8">
      <c r="A27" s="257" t="s">
        <v>754</v>
      </c>
      <c r="B27" s="261">
        <v>21748</v>
      </c>
      <c r="C27" s="261">
        <v>826</v>
      </c>
      <c r="D27" s="261">
        <v>966</v>
      </c>
      <c r="E27" s="261">
        <v>988</v>
      </c>
      <c r="F27" s="261">
        <v>963</v>
      </c>
      <c r="G27" s="261">
        <v>811</v>
      </c>
      <c r="N27" s="257" t="s">
        <v>754</v>
      </c>
      <c r="O27" s="263">
        <f t="shared" si="0"/>
        <v>1130896</v>
      </c>
      <c r="P27" s="263">
        <f t="shared" si="1"/>
        <v>42952</v>
      </c>
      <c r="Q27" s="263">
        <f t="shared" si="2"/>
        <v>50232</v>
      </c>
      <c r="R27" s="263">
        <f t="shared" si="3"/>
        <v>51376</v>
      </c>
      <c r="S27" s="263">
        <f t="shared" si="4"/>
        <v>50076</v>
      </c>
      <c r="T27" s="263">
        <f t="shared" si="5"/>
        <v>-42172</v>
      </c>
      <c r="U27" s="263">
        <f t="shared" si="6"/>
        <v>9204</v>
      </c>
      <c r="V27" s="263">
        <f t="shared" si="7"/>
        <v>7904</v>
      </c>
      <c r="W27" s="263">
        <f t="shared" si="8"/>
        <v>8060</v>
      </c>
    </row>
    <row r="28" spans="1:23" ht="43.2">
      <c r="A28" s="258" t="s">
        <v>755</v>
      </c>
      <c r="B28" s="261">
        <v>9281</v>
      </c>
      <c r="C28" s="261">
        <v>887</v>
      </c>
      <c r="D28" s="261">
        <v>1160</v>
      </c>
      <c r="E28" s="261">
        <v>1269</v>
      </c>
      <c r="F28" s="261">
        <v>1149</v>
      </c>
      <c r="G28" s="261">
        <v>845</v>
      </c>
      <c r="N28" s="258" t="s">
        <v>755</v>
      </c>
      <c r="O28" s="263">
        <f t="shared" si="0"/>
        <v>482612</v>
      </c>
      <c r="P28" s="263">
        <f t="shared" si="1"/>
        <v>46124</v>
      </c>
      <c r="Q28" s="263">
        <f t="shared" si="2"/>
        <v>60320</v>
      </c>
      <c r="R28" s="263">
        <f t="shared" si="3"/>
        <v>65988</v>
      </c>
      <c r="S28" s="263">
        <f t="shared" si="4"/>
        <v>59748</v>
      </c>
      <c r="T28" s="263">
        <f t="shared" si="5"/>
        <v>-43940</v>
      </c>
      <c r="U28" s="263">
        <f t="shared" si="6"/>
        <v>22048</v>
      </c>
      <c r="V28" s="263">
        <f t="shared" si="7"/>
        <v>15808</v>
      </c>
      <c r="W28" s="263">
        <f t="shared" si="8"/>
        <v>16380</v>
      </c>
    </row>
    <row r="29" spans="1:23" ht="57.6">
      <c r="A29" s="258" t="s">
        <v>756</v>
      </c>
      <c r="B29" s="261">
        <v>12467</v>
      </c>
      <c r="C29" s="261">
        <v>806</v>
      </c>
      <c r="D29" s="261">
        <v>866</v>
      </c>
      <c r="E29" s="261">
        <v>845</v>
      </c>
      <c r="F29" s="261">
        <v>869</v>
      </c>
      <c r="G29" s="261">
        <v>799</v>
      </c>
      <c r="N29" s="258" t="s">
        <v>756</v>
      </c>
      <c r="O29" s="263">
        <f t="shared" si="0"/>
        <v>648284</v>
      </c>
      <c r="P29" s="263">
        <f t="shared" si="1"/>
        <v>41912</v>
      </c>
      <c r="Q29" s="263">
        <f t="shared" si="2"/>
        <v>45032</v>
      </c>
      <c r="R29" s="263">
        <f t="shared" si="3"/>
        <v>43940</v>
      </c>
      <c r="S29" s="263">
        <f t="shared" si="4"/>
        <v>45188</v>
      </c>
      <c r="T29" s="263">
        <f t="shared" si="5"/>
        <v>-41548</v>
      </c>
      <c r="U29" s="263">
        <f t="shared" si="6"/>
        <v>2392</v>
      </c>
      <c r="V29" s="263">
        <f t="shared" si="7"/>
        <v>3640</v>
      </c>
      <c r="W29" s="263">
        <f t="shared" si="8"/>
        <v>3484</v>
      </c>
    </row>
    <row r="30" spans="1:23" ht="72">
      <c r="A30" s="257" t="s">
        <v>757</v>
      </c>
      <c r="B30" s="261">
        <v>11182</v>
      </c>
      <c r="C30" s="261">
        <v>919</v>
      </c>
      <c r="D30" s="261">
        <v>1139</v>
      </c>
      <c r="E30" s="261">
        <v>1121</v>
      </c>
      <c r="F30" s="261">
        <v>1142</v>
      </c>
      <c r="G30" s="261">
        <v>876</v>
      </c>
      <c r="N30" s="257" t="s">
        <v>757</v>
      </c>
      <c r="O30" s="263">
        <f t="shared" si="0"/>
        <v>581464</v>
      </c>
      <c r="P30" s="263">
        <f t="shared" si="1"/>
        <v>47788</v>
      </c>
      <c r="Q30" s="263">
        <f t="shared" si="2"/>
        <v>59228</v>
      </c>
      <c r="R30" s="263">
        <f t="shared" si="3"/>
        <v>58292</v>
      </c>
      <c r="S30" s="263">
        <f t="shared" si="4"/>
        <v>59384</v>
      </c>
      <c r="T30" s="263">
        <f t="shared" si="5"/>
        <v>-45552</v>
      </c>
      <c r="U30" s="263">
        <f t="shared" si="6"/>
        <v>12740</v>
      </c>
      <c r="V30" s="263">
        <f t="shared" si="7"/>
        <v>13832</v>
      </c>
      <c r="W30" s="263">
        <f t="shared" si="8"/>
        <v>13676</v>
      </c>
    </row>
    <row r="31" spans="1:23" ht="43.2">
      <c r="A31" s="258" t="s">
        <v>758</v>
      </c>
      <c r="B31" s="261">
        <v>800</v>
      </c>
      <c r="C31" s="261">
        <v>623</v>
      </c>
      <c r="D31" s="261">
        <v>719</v>
      </c>
      <c r="E31" s="261" t="s">
        <v>707</v>
      </c>
      <c r="F31" s="261">
        <v>724</v>
      </c>
      <c r="G31" s="261">
        <v>620</v>
      </c>
      <c r="N31" s="258" t="s">
        <v>758</v>
      </c>
      <c r="O31" s="263">
        <f t="shared" si="0"/>
        <v>41600</v>
      </c>
      <c r="P31" s="263">
        <f t="shared" si="1"/>
        <v>32396</v>
      </c>
      <c r="Q31" s="263">
        <f t="shared" si="2"/>
        <v>37388</v>
      </c>
      <c r="R31" s="263" t="e">
        <f t="shared" si="3"/>
        <v>#VALUE!</v>
      </c>
      <c r="S31" s="263">
        <f t="shared" si="4"/>
        <v>37648</v>
      </c>
      <c r="T31" s="263">
        <f t="shared" si="5"/>
        <v>-32240</v>
      </c>
      <c r="U31" s="263" t="e">
        <f t="shared" si="6"/>
        <v>#VALUE!</v>
      </c>
      <c r="V31" s="263">
        <f t="shared" si="7"/>
        <v>5408</v>
      </c>
      <c r="W31" s="263">
        <f t="shared" si="8"/>
        <v>5148</v>
      </c>
    </row>
    <row r="32" spans="1:23" ht="43.2">
      <c r="A32" s="258" t="s">
        <v>759</v>
      </c>
      <c r="B32" s="261">
        <v>6171</v>
      </c>
      <c r="C32" s="261">
        <v>904</v>
      </c>
      <c r="D32" s="261">
        <v>1168</v>
      </c>
      <c r="E32" s="261">
        <v>1192</v>
      </c>
      <c r="F32" s="261">
        <v>1165</v>
      </c>
      <c r="G32" s="261">
        <v>856</v>
      </c>
      <c r="N32" s="258" t="s">
        <v>759</v>
      </c>
      <c r="O32" s="263">
        <f t="shared" si="0"/>
        <v>320892</v>
      </c>
      <c r="P32" s="263">
        <f t="shared" si="1"/>
        <v>47008</v>
      </c>
      <c r="Q32" s="263">
        <f t="shared" si="2"/>
        <v>60736</v>
      </c>
      <c r="R32" s="263">
        <f t="shared" si="3"/>
        <v>61984</v>
      </c>
      <c r="S32" s="263">
        <f t="shared" si="4"/>
        <v>60580</v>
      </c>
      <c r="T32" s="263">
        <f t="shared" si="5"/>
        <v>-44512</v>
      </c>
      <c r="U32" s="263">
        <f t="shared" si="6"/>
        <v>17472</v>
      </c>
      <c r="V32" s="263">
        <f t="shared" si="7"/>
        <v>16068</v>
      </c>
      <c r="W32" s="263">
        <f t="shared" si="8"/>
        <v>16224</v>
      </c>
    </row>
    <row r="33" spans="1:23" ht="57.6">
      <c r="A33" s="258" t="s">
        <v>760</v>
      </c>
      <c r="B33" s="261">
        <v>4211</v>
      </c>
      <c r="C33" s="261">
        <v>1017</v>
      </c>
      <c r="D33" s="261">
        <v>1123</v>
      </c>
      <c r="E33" s="261">
        <v>1091</v>
      </c>
      <c r="F33" s="261">
        <v>1137</v>
      </c>
      <c r="G33" s="261">
        <v>988</v>
      </c>
      <c r="N33" s="258" t="s">
        <v>760</v>
      </c>
      <c r="O33" s="263">
        <f t="shared" si="0"/>
        <v>218972</v>
      </c>
      <c r="P33" s="263">
        <f t="shared" si="1"/>
        <v>52884</v>
      </c>
      <c r="Q33" s="263">
        <f t="shared" si="2"/>
        <v>58396</v>
      </c>
      <c r="R33" s="263">
        <f t="shared" si="3"/>
        <v>56732</v>
      </c>
      <c r="S33" s="263">
        <f t="shared" si="4"/>
        <v>59124</v>
      </c>
      <c r="T33" s="263">
        <f t="shared" si="5"/>
        <v>-51376</v>
      </c>
      <c r="U33" s="263">
        <f t="shared" si="6"/>
        <v>5356</v>
      </c>
      <c r="V33" s="263">
        <f t="shared" si="7"/>
        <v>7748</v>
      </c>
      <c r="W33" s="263">
        <f t="shared" si="8"/>
        <v>7020</v>
      </c>
    </row>
    <row r="34" spans="1:23" ht="72">
      <c r="A34" s="257" t="s">
        <v>761</v>
      </c>
      <c r="B34" s="261">
        <v>15590</v>
      </c>
      <c r="C34" s="261">
        <v>774</v>
      </c>
      <c r="D34" s="261">
        <v>979</v>
      </c>
      <c r="E34" s="261">
        <v>882</v>
      </c>
      <c r="F34" s="261">
        <v>986</v>
      </c>
      <c r="G34" s="261">
        <v>746</v>
      </c>
      <c r="N34" s="257" t="s">
        <v>761</v>
      </c>
      <c r="O34" s="263">
        <f t="shared" si="0"/>
        <v>810680</v>
      </c>
      <c r="P34" s="263">
        <f t="shared" si="1"/>
        <v>40248</v>
      </c>
      <c r="Q34" s="263">
        <f t="shared" si="2"/>
        <v>50908</v>
      </c>
      <c r="R34" s="263">
        <f t="shared" si="3"/>
        <v>45864</v>
      </c>
      <c r="S34" s="263">
        <f t="shared" si="4"/>
        <v>51272</v>
      </c>
      <c r="T34" s="263">
        <f t="shared" si="5"/>
        <v>-38792</v>
      </c>
      <c r="U34" s="263">
        <f t="shared" si="6"/>
        <v>7072</v>
      </c>
      <c r="V34" s="263">
        <f t="shared" si="7"/>
        <v>12480</v>
      </c>
      <c r="W34" s="263">
        <f t="shared" si="8"/>
        <v>12116</v>
      </c>
    </row>
    <row r="35" spans="1:23" ht="28.8">
      <c r="A35" s="258" t="s">
        <v>762</v>
      </c>
      <c r="B35" s="261">
        <v>7107</v>
      </c>
      <c r="C35" s="261">
        <v>809</v>
      </c>
      <c r="D35" s="261">
        <v>995</v>
      </c>
      <c r="E35" s="261">
        <v>989</v>
      </c>
      <c r="F35" s="261">
        <v>996</v>
      </c>
      <c r="G35" s="261">
        <v>794</v>
      </c>
      <c r="N35" s="258" t="s">
        <v>762</v>
      </c>
      <c r="O35" s="263">
        <f t="shared" si="0"/>
        <v>369564</v>
      </c>
      <c r="P35" s="263">
        <f t="shared" si="1"/>
        <v>42068</v>
      </c>
      <c r="Q35" s="263">
        <f t="shared" si="2"/>
        <v>51740</v>
      </c>
      <c r="R35" s="263">
        <f t="shared" si="3"/>
        <v>51428</v>
      </c>
      <c r="S35" s="263">
        <f t="shared" si="4"/>
        <v>51792</v>
      </c>
      <c r="T35" s="263">
        <f t="shared" si="5"/>
        <v>-41288</v>
      </c>
      <c r="U35" s="263">
        <f t="shared" si="6"/>
        <v>10140</v>
      </c>
      <c r="V35" s="263">
        <f t="shared" si="7"/>
        <v>10504</v>
      </c>
      <c r="W35" s="263">
        <f t="shared" si="8"/>
        <v>10452</v>
      </c>
    </row>
    <row r="36" spans="1:23" ht="57.6">
      <c r="A36" s="258" t="s">
        <v>763</v>
      </c>
      <c r="B36" s="261">
        <v>8483</v>
      </c>
      <c r="C36" s="261">
        <v>738</v>
      </c>
      <c r="D36" s="261">
        <v>973</v>
      </c>
      <c r="E36" s="261">
        <v>788</v>
      </c>
      <c r="F36" s="261">
        <v>983</v>
      </c>
      <c r="G36" s="261">
        <v>708</v>
      </c>
      <c r="N36" s="258" t="s">
        <v>763</v>
      </c>
      <c r="O36" s="263">
        <f t="shared" si="0"/>
        <v>441116</v>
      </c>
      <c r="P36" s="263">
        <f t="shared" si="1"/>
        <v>38376</v>
      </c>
      <c r="Q36" s="263">
        <f t="shared" si="2"/>
        <v>50596</v>
      </c>
      <c r="R36" s="263">
        <f t="shared" si="3"/>
        <v>40976</v>
      </c>
      <c r="S36" s="263">
        <f t="shared" si="4"/>
        <v>51116</v>
      </c>
      <c r="T36" s="263">
        <f t="shared" si="5"/>
        <v>-36816</v>
      </c>
      <c r="U36" s="263">
        <f t="shared" si="6"/>
        <v>4160</v>
      </c>
      <c r="V36" s="263">
        <f t="shared" si="7"/>
        <v>14300</v>
      </c>
      <c r="W36" s="263">
        <f t="shared" si="8"/>
        <v>13780</v>
      </c>
    </row>
    <row r="37" spans="1:23" ht="14.4">
      <c r="A37" s="253" t="s">
        <v>683</v>
      </c>
      <c r="B37" s="252"/>
      <c r="C37" s="252"/>
      <c r="D37" s="252"/>
      <c r="E37" s="252"/>
      <c r="F37" s="252"/>
      <c r="G37" s="252"/>
    </row>
    <row r="38" spans="1:23" ht="14.4">
      <c r="A38" s="433" t="s">
        <v>727</v>
      </c>
      <c r="B38" s="429"/>
      <c r="C38" s="429"/>
      <c r="D38" s="429"/>
      <c r="E38" s="429"/>
      <c r="F38" s="429"/>
      <c r="G38" s="429"/>
    </row>
    <row r="39" spans="1:23" ht="14.4">
      <c r="A39" s="433" t="s">
        <v>728</v>
      </c>
      <c r="B39" s="429"/>
      <c r="C39" s="429"/>
      <c r="D39" s="429"/>
      <c r="E39" s="429"/>
      <c r="F39" s="429"/>
      <c r="G39" s="429"/>
    </row>
    <row r="40" spans="1:23" ht="14.4">
      <c r="A40" s="433" t="s">
        <v>729</v>
      </c>
      <c r="B40" s="429"/>
      <c r="C40" s="429"/>
      <c r="D40" s="429"/>
      <c r="E40" s="429"/>
      <c r="F40" s="429"/>
      <c r="G40" s="429"/>
    </row>
    <row r="41" spans="1:23" ht="14.4">
      <c r="A41" s="433" t="s">
        <v>764</v>
      </c>
      <c r="B41" s="429"/>
      <c r="C41" s="429"/>
      <c r="D41" s="429"/>
      <c r="E41" s="429"/>
      <c r="F41" s="429"/>
      <c r="G41" s="429"/>
    </row>
  </sheetData>
  <mergeCells count="17">
    <mergeCell ref="P3:T3"/>
    <mergeCell ref="P4:P5"/>
    <mergeCell ref="Q4:S4"/>
    <mergeCell ref="T4:T5"/>
    <mergeCell ref="A41:G41"/>
    <mergeCell ref="A38:G38"/>
    <mergeCell ref="A39:G39"/>
    <mergeCell ref="A40:G40"/>
    <mergeCell ref="N3:N5"/>
    <mergeCell ref="O3:O5"/>
    <mergeCell ref="A1:G1"/>
    <mergeCell ref="A3:A5"/>
    <mergeCell ref="B3:B5"/>
    <mergeCell ref="C3:G3"/>
    <mergeCell ref="C4:C5"/>
    <mergeCell ref="D4:F4"/>
    <mergeCell ref="G4:G5"/>
  </mergeCells>
  <conditionalFormatting sqref="U7:U36">
    <cfRule type="colorScale" priority="1">
      <colorScale>
        <cfvo type="min"/>
        <cfvo type="percentile" val="50"/>
        <cfvo type="max"/>
        <color rgb="FFF8696B"/>
        <color rgb="FFFFEB84"/>
        <color rgb="FF63BE7B"/>
      </colorScale>
    </cfRule>
  </conditionalFormatting>
  <conditionalFormatting sqref="V7:V36">
    <cfRule type="colorScale" priority="2">
      <colorScale>
        <cfvo type="min"/>
        <cfvo type="percentile" val="50"/>
        <cfvo type="max"/>
        <color rgb="FFF8696B"/>
        <color rgb="FFFFEB84"/>
        <color rgb="FF63BE7B"/>
      </colorScale>
    </cfRule>
  </conditionalFormatting>
  <conditionalFormatting sqref="W5">
    <cfRule type="colorScale" priority="4">
      <colorScale>
        <cfvo type="min"/>
        <cfvo type="percentile" val="50"/>
        <cfvo type="max"/>
        <color rgb="FFF8696B"/>
        <color rgb="FFFFEB84"/>
        <color rgb="FF63BE7B"/>
      </colorScale>
    </cfRule>
  </conditionalFormatting>
  <conditionalFormatting sqref="W7:W36">
    <cfRule type="colorScale" priority="3">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0"/>
  <sheetViews>
    <sheetView workbookViewId="0">
      <pane ySplit="4" topLeftCell="A5" activePane="bottomLeft" state="frozen"/>
      <selection pane="bottomLeft" activeCell="K125" sqref="K125"/>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1.109375" bestFit="1" customWidth="1"/>
    <col min="10" max="10" width="13.109375" bestFit="1" customWidth="1"/>
    <col min="11" max="11" width="18.109375" bestFit="1" customWidth="1"/>
  </cols>
  <sheetData>
    <row r="1" spans="1:14" ht="39" customHeight="1">
      <c r="A1" s="314" t="s">
        <v>165</v>
      </c>
      <c r="B1" s="314"/>
      <c r="C1" s="314"/>
      <c r="D1" s="314"/>
      <c r="E1" s="314"/>
      <c r="F1" s="314"/>
      <c r="G1" s="314"/>
      <c r="H1" s="314"/>
      <c r="I1" s="314"/>
    </row>
    <row r="2" spans="1:14" ht="1.95" customHeight="1"/>
    <row r="3" spans="1:14" ht="13.95" customHeight="1">
      <c r="A3" s="326" t="s">
        <v>166</v>
      </c>
      <c r="B3" s="328" t="s">
        <v>167</v>
      </c>
      <c r="C3" s="330" t="s">
        <v>168</v>
      </c>
      <c r="D3" s="331"/>
      <c r="E3" s="331"/>
      <c r="F3" s="332"/>
      <c r="G3" s="333" t="s">
        <v>169</v>
      </c>
      <c r="H3" s="335" t="s">
        <v>170</v>
      </c>
      <c r="I3" s="337" t="s">
        <v>171</v>
      </c>
      <c r="J3" s="319" t="s">
        <v>172</v>
      </c>
      <c r="K3" s="319" t="s">
        <v>173</v>
      </c>
      <c r="N3" s="320"/>
    </row>
    <row r="4" spans="1:14" ht="25.5" customHeight="1">
      <c r="A4" s="327"/>
      <c r="B4" s="329"/>
      <c r="C4" s="3" t="s">
        <v>167</v>
      </c>
      <c r="D4" s="4" t="s">
        <v>174</v>
      </c>
      <c r="E4" s="5" t="s">
        <v>175</v>
      </c>
      <c r="F4" s="5" t="s">
        <v>176</v>
      </c>
      <c r="G4" s="334"/>
      <c r="H4" s="336"/>
      <c r="I4" s="337"/>
      <c r="J4" s="320"/>
      <c r="K4" s="320"/>
      <c r="N4" s="320"/>
    </row>
    <row r="5" spans="1:14" ht="12.45" customHeight="1">
      <c r="A5" s="128" t="s">
        <v>177</v>
      </c>
      <c r="B5" s="127">
        <v>68593000</v>
      </c>
      <c r="C5" s="126">
        <v>51764000</v>
      </c>
      <c r="D5" s="126">
        <v>7894000</v>
      </c>
      <c r="E5" s="126">
        <v>9522000</v>
      </c>
      <c r="F5" s="126">
        <v>34349000</v>
      </c>
      <c r="G5" s="126">
        <v>3160000</v>
      </c>
      <c r="H5" s="264">
        <v>13669000</v>
      </c>
      <c r="I5" s="272">
        <f>C5/B5</f>
        <v>0.7546542650124648</v>
      </c>
      <c r="J5" s="272">
        <f>(G5/$B5)*-1</f>
        <v>-4.6068840843817883E-2</v>
      </c>
      <c r="K5" s="272">
        <f>(H5/$B5)*-1</f>
        <v>-0.1992768941437173</v>
      </c>
    </row>
    <row r="6" spans="1:14" ht="12.45" customHeight="1">
      <c r="A6" s="129" t="s">
        <v>178</v>
      </c>
      <c r="B6" s="105">
        <v>21357000</v>
      </c>
      <c r="C6" s="9">
        <v>16408000</v>
      </c>
      <c r="D6" s="9">
        <v>6059000</v>
      </c>
      <c r="E6" s="9">
        <v>2405000</v>
      </c>
      <c r="F6" s="9">
        <v>7944000</v>
      </c>
      <c r="G6" s="9">
        <v>939000</v>
      </c>
      <c r="H6" s="265">
        <v>4011000</v>
      </c>
      <c r="I6" s="272">
        <f t="shared" ref="I6:I45" si="0">C6/B6</f>
        <v>0.76827269747623728</v>
      </c>
      <c r="J6" s="272">
        <f t="shared" ref="J6:J69" si="1">(G6/$B6)*-1</f>
        <v>-4.3966849276583793E-2</v>
      </c>
      <c r="K6" s="272">
        <f t="shared" ref="K6:K69" si="2">(H6/$B6)*-1</f>
        <v>-0.18780727630285152</v>
      </c>
    </row>
    <row r="7" spans="1:14" ht="24.75" customHeight="1">
      <c r="A7" s="130" t="s">
        <v>179</v>
      </c>
      <c r="B7" s="106">
        <v>3433000</v>
      </c>
      <c r="C7" s="11">
        <v>2570000</v>
      </c>
      <c r="D7" s="11">
        <v>768000</v>
      </c>
      <c r="E7" s="11">
        <v>667000</v>
      </c>
      <c r="F7" s="11">
        <v>1136000</v>
      </c>
      <c r="G7" s="11">
        <v>150000</v>
      </c>
      <c r="H7" s="266">
        <v>714000</v>
      </c>
      <c r="I7" s="272">
        <f t="shared" si="0"/>
        <v>0.74861637052140984</v>
      </c>
      <c r="J7" s="272">
        <f t="shared" si="1"/>
        <v>-4.3693562481794346E-2</v>
      </c>
      <c r="K7" s="272">
        <f t="shared" si="2"/>
        <v>-0.20798135741334109</v>
      </c>
    </row>
    <row r="8" spans="1:14" ht="12.45" customHeight="1">
      <c r="A8" s="131" t="s">
        <v>180</v>
      </c>
      <c r="B8" s="105">
        <v>406000</v>
      </c>
      <c r="C8" s="9">
        <v>308000</v>
      </c>
      <c r="D8" s="9">
        <v>73000</v>
      </c>
      <c r="E8" s="9">
        <v>40000</v>
      </c>
      <c r="F8" s="9">
        <v>195000</v>
      </c>
      <c r="G8" s="9">
        <v>12000</v>
      </c>
      <c r="H8" s="265">
        <v>86000</v>
      </c>
      <c r="I8" s="272">
        <f t="shared" si="0"/>
        <v>0.75862068965517238</v>
      </c>
      <c r="J8" s="272">
        <f t="shared" si="1"/>
        <v>-2.9556650246305417E-2</v>
      </c>
      <c r="K8" s="272">
        <f t="shared" si="2"/>
        <v>-0.21182266009852216</v>
      </c>
    </row>
    <row r="9" spans="1:14" ht="12.45" customHeight="1">
      <c r="A9" s="131" t="s">
        <v>181</v>
      </c>
      <c r="B9" s="105">
        <v>2612000</v>
      </c>
      <c r="C9" s="9">
        <v>1937000</v>
      </c>
      <c r="D9" s="9">
        <v>610000</v>
      </c>
      <c r="E9" s="9">
        <v>591000</v>
      </c>
      <c r="F9" s="9">
        <v>737000</v>
      </c>
      <c r="G9" s="9">
        <v>120000</v>
      </c>
      <c r="H9" s="265">
        <v>555000</v>
      </c>
      <c r="I9" s="272">
        <f t="shared" si="0"/>
        <v>0.74157733537519144</v>
      </c>
      <c r="J9" s="272">
        <f t="shared" si="1"/>
        <v>-4.5941807044410414E-2</v>
      </c>
      <c r="K9" s="272">
        <f t="shared" si="2"/>
        <v>-0.21248085758039817</v>
      </c>
    </row>
    <row r="10" spans="1:14" ht="12.45" customHeight="1">
      <c r="A10" s="131" t="s">
        <v>182</v>
      </c>
      <c r="B10" s="105">
        <v>416000</v>
      </c>
      <c r="C10" s="9">
        <v>325000</v>
      </c>
      <c r="D10" s="9">
        <v>85000</v>
      </c>
      <c r="E10" s="9">
        <v>36000</v>
      </c>
      <c r="F10" s="9">
        <v>204000</v>
      </c>
      <c r="G10" s="9">
        <v>18000</v>
      </c>
      <c r="H10" s="265">
        <v>74000</v>
      </c>
      <c r="I10" s="272">
        <f t="shared" si="0"/>
        <v>0.78125</v>
      </c>
      <c r="J10" s="272">
        <f t="shared" si="1"/>
        <v>-4.3269230769230768E-2</v>
      </c>
      <c r="K10" s="272">
        <f t="shared" si="2"/>
        <v>-0.17788461538461539</v>
      </c>
    </row>
    <row r="11" spans="1:14" ht="24.75" customHeight="1">
      <c r="A11" s="130" t="s">
        <v>183</v>
      </c>
      <c r="B11" s="106">
        <v>3897000</v>
      </c>
      <c r="C11" s="11">
        <v>3147000</v>
      </c>
      <c r="D11" s="11">
        <v>1795000</v>
      </c>
      <c r="E11" s="11">
        <v>463000</v>
      </c>
      <c r="F11" s="11">
        <v>889000</v>
      </c>
      <c r="G11" s="11">
        <v>166000</v>
      </c>
      <c r="H11" s="266">
        <v>584000</v>
      </c>
      <c r="I11" s="272">
        <f t="shared" si="0"/>
        <v>0.80754426481909158</v>
      </c>
      <c r="J11" s="272">
        <f t="shared" si="1"/>
        <v>-4.2596869386707724E-2</v>
      </c>
      <c r="K11" s="272">
        <f t="shared" si="2"/>
        <v>-0.14985886579420066</v>
      </c>
    </row>
    <row r="12" spans="1:14" ht="24.75" customHeight="1">
      <c r="A12" s="131" t="s">
        <v>184</v>
      </c>
      <c r="B12" s="106">
        <v>2991000</v>
      </c>
      <c r="C12" s="11">
        <v>2493000</v>
      </c>
      <c r="D12" s="11">
        <v>1556000</v>
      </c>
      <c r="E12" s="11">
        <v>324000</v>
      </c>
      <c r="F12" s="11">
        <v>614000</v>
      </c>
      <c r="G12" s="11">
        <v>136000</v>
      </c>
      <c r="H12" s="266">
        <v>362000</v>
      </c>
      <c r="I12" s="272">
        <f t="shared" si="0"/>
        <v>0.83350050150451349</v>
      </c>
      <c r="J12" s="272">
        <f t="shared" si="1"/>
        <v>-4.546974256101638E-2</v>
      </c>
      <c r="K12" s="272">
        <f t="shared" si="2"/>
        <v>-0.12102975593447007</v>
      </c>
    </row>
    <row r="13" spans="1:14" ht="12.45" customHeight="1">
      <c r="A13" s="131" t="s">
        <v>185</v>
      </c>
      <c r="B13" s="105">
        <v>906000</v>
      </c>
      <c r="C13" s="9">
        <v>654000</v>
      </c>
      <c r="D13" s="9">
        <v>239000</v>
      </c>
      <c r="E13" s="9">
        <v>140000</v>
      </c>
      <c r="F13" s="9">
        <v>276000</v>
      </c>
      <c r="G13" s="9">
        <v>30000</v>
      </c>
      <c r="H13" s="265">
        <v>222000</v>
      </c>
      <c r="I13" s="272">
        <f t="shared" si="0"/>
        <v>0.72185430463576161</v>
      </c>
      <c r="J13" s="272">
        <f t="shared" si="1"/>
        <v>-3.3112582781456956E-2</v>
      </c>
      <c r="K13" s="272">
        <f t="shared" si="2"/>
        <v>-0.24503311258278146</v>
      </c>
    </row>
    <row r="14" spans="1:14" ht="12.45" customHeight="1">
      <c r="A14" s="130" t="s">
        <v>186</v>
      </c>
      <c r="B14" s="105">
        <v>1172000</v>
      </c>
      <c r="C14" s="9">
        <v>906000</v>
      </c>
      <c r="D14" s="9">
        <v>461000</v>
      </c>
      <c r="E14" s="9">
        <v>148000</v>
      </c>
      <c r="F14" s="9">
        <v>297000</v>
      </c>
      <c r="G14" s="9">
        <v>41000</v>
      </c>
      <c r="H14" s="265">
        <v>225000</v>
      </c>
      <c r="I14" s="272">
        <f t="shared" si="0"/>
        <v>0.773037542662116</v>
      </c>
      <c r="J14" s="272">
        <f t="shared" si="1"/>
        <v>-3.4982935153583618E-2</v>
      </c>
      <c r="K14" s="272">
        <f t="shared" si="2"/>
        <v>-0.19197952218430034</v>
      </c>
    </row>
    <row r="15" spans="1:14" ht="12.45" customHeight="1">
      <c r="A15" s="131" t="s">
        <v>187</v>
      </c>
      <c r="B15" s="105">
        <v>493000</v>
      </c>
      <c r="C15" s="9">
        <v>376000</v>
      </c>
      <c r="D15" s="9">
        <v>189000</v>
      </c>
      <c r="E15" s="9">
        <v>75000</v>
      </c>
      <c r="F15" s="9">
        <v>113000</v>
      </c>
      <c r="G15" s="9">
        <v>16000</v>
      </c>
      <c r="H15" s="265">
        <v>101000</v>
      </c>
      <c r="I15" s="272">
        <f t="shared" si="0"/>
        <v>0.76267748478701824</v>
      </c>
      <c r="J15" s="272">
        <f t="shared" si="1"/>
        <v>-3.2454361054766734E-2</v>
      </c>
      <c r="K15" s="272">
        <f t="shared" si="2"/>
        <v>-0.20486815415821502</v>
      </c>
    </row>
    <row r="16" spans="1:14" ht="24.75" customHeight="1">
      <c r="A16" s="131" t="s">
        <v>188</v>
      </c>
      <c r="B16" s="106">
        <v>328000</v>
      </c>
      <c r="C16" s="11">
        <v>263000</v>
      </c>
      <c r="D16" s="11">
        <v>120000</v>
      </c>
      <c r="E16" s="11">
        <v>31000</v>
      </c>
      <c r="F16" s="11">
        <v>112000</v>
      </c>
      <c r="G16" s="11">
        <v>9000</v>
      </c>
      <c r="H16" s="266">
        <v>56000</v>
      </c>
      <c r="I16" s="272">
        <f t="shared" si="0"/>
        <v>0.80182926829268297</v>
      </c>
      <c r="J16" s="272">
        <f t="shared" si="1"/>
        <v>-2.7439024390243903E-2</v>
      </c>
      <c r="K16" s="272">
        <f t="shared" si="2"/>
        <v>-0.17073170731707318</v>
      </c>
    </row>
    <row r="17" spans="1:11" ht="12.45" customHeight="1">
      <c r="A17" s="131" t="s">
        <v>189</v>
      </c>
      <c r="B17" s="105">
        <v>315000</v>
      </c>
      <c r="C17" s="9">
        <v>240000</v>
      </c>
      <c r="D17" s="9">
        <v>146000</v>
      </c>
      <c r="E17" s="9">
        <v>34000</v>
      </c>
      <c r="F17" s="9">
        <v>61000</v>
      </c>
      <c r="G17" s="9">
        <v>15000</v>
      </c>
      <c r="H17" s="265">
        <v>60000</v>
      </c>
      <c r="I17" s="272">
        <f t="shared" si="0"/>
        <v>0.76190476190476186</v>
      </c>
      <c r="J17" s="272">
        <f t="shared" si="1"/>
        <v>-4.7619047619047616E-2</v>
      </c>
      <c r="K17" s="272">
        <f t="shared" si="2"/>
        <v>-0.19047619047619047</v>
      </c>
    </row>
    <row r="18" spans="1:11" ht="12.45" customHeight="1">
      <c r="A18" s="131" t="s">
        <v>190</v>
      </c>
      <c r="B18" s="105">
        <v>35000</v>
      </c>
      <c r="C18" s="9">
        <v>26000</v>
      </c>
      <c r="D18" s="9">
        <v>6000</v>
      </c>
      <c r="E18" s="9">
        <v>8000</v>
      </c>
      <c r="F18" s="9">
        <v>11000</v>
      </c>
      <c r="G18" s="13" t="s">
        <v>191</v>
      </c>
      <c r="H18" s="265">
        <v>8000</v>
      </c>
      <c r="I18" s="272">
        <f t="shared" si="0"/>
        <v>0.74285714285714288</v>
      </c>
      <c r="J18" s="272" t="e">
        <f t="shared" si="1"/>
        <v>#VALUE!</v>
      </c>
      <c r="K18" s="272">
        <f t="shared" si="2"/>
        <v>-0.22857142857142856</v>
      </c>
    </row>
    <row r="19" spans="1:11" ht="12.45" customHeight="1">
      <c r="A19" s="130" t="s">
        <v>192</v>
      </c>
      <c r="B19" s="105">
        <v>7913000</v>
      </c>
      <c r="C19" s="9">
        <v>5774000</v>
      </c>
      <c r="D19" s="9">
        <v>758000</v>
      </c>
      <c r="E19" s="9">
        <v>486000</v>
      </c>
      <c r="F19" s="9">
        <v>4529000</v>
      </c>
      <c r="G19" s="9">
        <v>410000</v>
      </c>
      <c r="H19" s="265">
        <v>1730000</v>
      </c>
      <c r="I19" s="272">
        <f t="shared" si="0"/>
        <v>0.72968532794136232</v>
      </c>
      <c r="J19" s="272">
        <f t="shared" si="1"/>
        <v>-5.181347150259067E-2</v>
      </c>
      <c r="K19" s="272">
        <f t="shared" si="2"/>
        <v>-0.21862757487678502</v>
      </c>
    </row>
    <row r="20" spans="1:11" ht="12.45" customHeight="1">
      <c r="A20" s="131" t="s">
        <v>193</v>
      </c>
      <c r="B20" s="105">
        <v>1143000</v>
      </c>
      <c r="C20" s="9">
        <v>869000</v>
      </c>
      <c r="D20" s="9">
        <v>123000</v>
      </c>
      <c r="E20" s="9">
        <v>37000</v>
      </c>
      <c r="F20" s="9">
        <v>708000</v>
      </c>
      <c r="G20" s="9">
        <v>38000</v>
      </c>
      <c r="H20" s="265">
        <v>236000</v>
      </c>
      <c r="I20" s="272">
        <f t="shared" si="0"/>
        <v>0.76027996500437445</v>
      </c>
      <c r="J20" s="272">
        <f t="shared" si="1"/>
        <v>-3.3245844269466314E-2</v>
      </c>
      <c r="K20" s="272">
        <f t="shared" si="2"/>
        <v>-0.20647419072615922</v>
      </c>
    </row>
    <row r="21" spans="1:11" ht="12.45" customHeight="1">
      <c r="A21" s="131" t="s">
        <v>194</v>
      </c>
      <c r="B21" s="105">
        <v>1415000</v>
      </c>
      <c r="C21" s="9">
        <v>1039000</v>
      </c>
      <c r="D21" s="9">
        <v>115000</v>
      </c>
      <c r="E21" s="9">
        <v>67000</v>
      </c>
      <c r="F21" s="9">
        <v>858000</v>
      </c>
      <c r="G21" s="9">
        <v>83000</v>
      </c>
      <c r="H21" s="265">
        <v>293000</v>
      </c>
      <c r="I21" s="272">
        <f t="shared" si="0"/>
        <v>0.73427561837455835</v>
      </c>
      <c r="J21" s="272">
        <f t="shared" si="1"/>
        <v>-5.8657243816254416E-2</v>
      </c>
      <c r="K21" s="272">
        <f t="shared" si="2"/>
        <v>-0.20706713780918728</v>
      </c>
    </row>
    <row r="22" spans="1:11" ht="12.45" customHeight="1">
      <c r="A22" s="131" t="s">
        <v>195</v>
      </c>
      <c r="B22" s="105">
        <v>3232000</v>
      </c>
      <c r="C22" s="9">
        <v>2336000</v>
      </c>
      <c r="D22" s="9">
        <v>337000</v>
      </c>
      <c r="E22" s="9">
        <v>238000</v>
      </c>
      <c r="F22" s="9">
        <v>1761000</v>
      </c>
      <c r="G22" s="9">
        <v>165000</v>
      </c>
      <c r="H22" s="265">
        <v>731000</v>
      </c>
      <c r="I22" s="272">
        <f t="shared" si="0"/>
        <v>0.72277227722772275</v>
      </c>
      <c r="J22" s="272">
        <f t="shared" si="1"/>
        <v>-5.1051980198019799E-2</v>
      </c>
      <c r="K22" s="272">
        <f t="shared" si="2"/>
        <v>-0.22617574257425743</v>
      </c>
    </row>
    <row r="23" spans="1:11" ht="12.45" customHeight="1">
      <c r="A23" s="131" t="s">
        <v>196</v>
      </c>
      <c r="B23" s="105">
        <v>1315000</v>
      </c>
      <c r="C23" s="9">
        <v>929000</v>
      </c>
      <c r="D23" s="9">
        <v>112000</v>
      </c>
      <c r="E23" s="9">
        <v>73000</v>
      </c>
      <c r="F23" s="9">
        <v>744000</v>
      </c>
      <c r="G23" s="9">
        <v>74000</v>
      </c>
      <c r="H23" s="265">
        <v>312000</v>
      </c>
      <c r="I23" s="272">
        <f t="shared" si="0"/>
        <v>0.7064638783269962</v>
      </c>
      <c r="J23" s="272">
        <f t="shared" si="1"/>
        <v>-5.6273764258555133E-2</v>
      </c>
      <c r="K23" s="272">
        <f t="shared" si="2"/>
        <v>-0.23726235741444868</v>
      </c>
    </row>
    <row r="24" spans="1:11" ht="12.45" customHeight="1">
      <c r="A24" s="131" t="s">
        <v>197</v>
      </c>
      <c r="B24" s="105">
        <v>807000</v>
      </c>
      <c r="C24" s="9">
        <v>600000</v>
      </c>
      <c r="D24" s="9">
        <v>71000</v>
      </c>
      <c r="E24" s="9">
        <v>71000</v>
      </c>
      <c r="F24" s="9">
        <v>458000</v>
      </c>
      <c r="G24" s="9">
        <v>49000</v>
      </c>
      <c r="H24" s="265">
        <v>158000</v>
      </c>
      <c r="I24" s="272">
        <f t="shared" si="0"/>
        <v>0.74349442379182151</v>
      </c>
      <c r="J24" s="272">
        <f t="shared" si="1"/>
        <v>-6.0718711276332091E-2</v>
      </c>
      <c r="K24" s="272">
        <f t="shared" si="2"/>
        <v>-0.19578686493184635</v>
      </c>
    </row>
    <row r="25" spans="1:11" ht="12.45" customHeight="1">
      <c r="A25" s="130" t="s">
        <v>198</v>
      </c>
      <c r="B25" s="105">
        <v>4942000</v>
      </c>
      <c r="C25" s="9">
        <v>4011000</v>
      </c>
      <c r="D25" s="9">
        <v>2277000</v>
      </c>
      <c r="E25" s="9">
        <v>641000</v>
      </c>
      <c r="F25" s="9">
        <v>1093000</v>
      </c>
      <c r="G25" s="9">
        <v>173000</v>
      </c>
      <c r="H25" s="265">
        <v>759000</v>
      </c>
      <c r="I25" s="272">
        <f t="shared" si="0"/>
        <v>0.81161473087818692</v>
      </c>
      <c r="J25" s="272">
        <f t="shared" si="1"/>
        <v>-3.5006070416835289E-2</v>
      </c>
      <c r="K25" s="272">
        <f t="shared" si="2"/>
        <v>-0.15358154593282072</v>
      </c>
    </row>
    <row r="26" spans="1:11" ht="24.75" customHeight="1">
      <c r="A26" s="131" t="s">
        <v>199</v>
      </c>
      <c r="B26" s="106">
        <v>189000</v>
      </c>
      <c r="C26" s="11">
        <v>145000</v>
      </c>
      <c r="D26" s="11">
        <v>84000</v>
      </c>
      <c r="E26" s="11">
        <v>18000</v>
      </c>
      <c r="F26" s="11">
        <v>43000</v>
      </c>
      <c r="G26" s="11">
        <v>5000</v>
      </c>
      <c r="H26" s="266">
        <v>39000</v>
      </c>
      <c r="I26" s="272">
        <f t="shared" si="0"/>
        <v>0.76719576719576721</v>
      </c>
      <c r="J26" s="272">
        <f t="shared" si="1"/>
        <v>-2.6455026455026454E-2</v>
      </c>
      <c r="K26" s="272">
        <f t="shared" si="2"/>
        <v>-0.20634920634920634</v>
      </c>
    </row>
    <row r="27" spans="1:11" ht="12.45" customHeight="1">
      <c r="A27" s="131" t="s">
        <v>200</v>
      </c>
      <c r="B27" s="105">
        <v>331000</v>
      </c>
      <c r="C27" s="9">
        <v>269000</v>
      </c>
      <c r="D27" s="9">
        <v>148000</v>
      </c>
      <c r="E27" s="9">
        <v>37000</v>
      </c>
      <c r="F27" s="9">
        <v>84000</v>
      </c>
      <c r="G27" s="9">
        <v>10000</v>
      </c>
      <c r="H27" s="265">
        <v>52000</v>
      </c>
      <c r="I27" s="272">
        <f t="shared" si="0"/>
        <v>0.81268882175226587</v>
      </c>
      <c r="J27" s="272">
        <f t="shared" si="1"/>
        <v>-3.0211480362537766E-2</v>
      </c>
      <c r="K27" s="272">
        <f t="shared" si="2"/>
        <v>-0.15709969788519637</v>
      </c>
    </row>
    <row r="28" spans="1:11" ht="24.75" customHeight="1">
      <c r="A28" s="131" t="s">
        <v>201</v>
      </c>
      <c r="B28" s="106">
        <v>663000</v>
      </c>
      <c r="C28" s="11">
        <v>543000</v>
      </c>
      <c r="D28" s="11">
        <v>296000</v>
      </c>
      <c r="E28" s="11">
        <v>96000</v>
      </c>
      <c r="F28" s="11">
        <v>151000</v>
      </c>
      <c r="G28" s="11">
        <v>11000</v>
      </c>
      <c r="H28" s="266">
        <v>110000</v>
      </c>
      <c r="I28" s="272">
        <f t="shared" si="0"/>
        <v>0.8190045248868778</v>
      </c>
      <c r="J28" s="272">
        <f t="shared" si="1"/>
        <v>-1.6591251885369532E-2</v>
      </c>
      <c r="K28" s="272">
        <f t="shared" si="2"/>
        <v>-0.16591251885369532</v>
      </c>
    </row>
    <row r="29" spans="1:11" ht="24.75" customHeight="1">
      <c r="A29" s="131" t="s">
        <v>202</v>
      </c>
      <c r="B29" s="106">
        <v>1723000</v>
      </c>
      <c r="C29" s="11">
        <v>1409000</v>
      </c>
      <c r="D29" s="11">
        <v>885000</v>
      </c>
      <c r="E29" s="11">
        <v>245000</v>
      </c>
      <c r="F29" s="11">
        <v>278000</v>
      </c>
      <c r="G29" s="11">
        <v>63000</v>
      </c>
      <c r="H29" s="266">
        <v>251000</v>
      </c>
      <c r="I29" s="272">
        <f t="shared" si="0"/>
        <v>0.81775972141613462</v>
      </c>
      <c r="J29" s="272">
        <f t="shared" si="1"/>
        <v>-3.6564132327336039E-2</v>
      </c>
      <c r="K29" s="272">
        <f t="shared" si="2"/>
        <v>-0.1456761462565293</v>
      </c>
    </row>
    <row r="30" spans="1:11" ht="12.45" customHeight="1">
      <c r="A30" s="131" t="s">
        <v>203</v>
      </c>
      <c r="B30" s="105">
        <v>305000</v>
      </c>
      <c r="C30" s="9">
        <v>230000</v>
      </c>
      <c r="D30" s="9">
        <v>82000</v>
      </c>
      <c r="E30" s="9">
        <v>41000</v>
      </c>
      <c r="F30" s="9">
        <v>107000</v>
      </c>
      <c r="G30" s="9">
        <v>12000</v>
      </c>
      <c r="H30" s="265">
        <v>62000</v>
      </c>
      <c r="I30" s="272">
        <f t="shared" si="0"/>
        <v>0.75409836065573765</v>
      </c>
      <c r="J30" s="272">
        <f t="shared" si="1"/>
        <v>-3.9344262295081971E-2</v>
      </c>
      <c r="K30" s="272">
        <f t="shared" si="2"/>
        <v>-0.20327868852459016</v>
      </c>
    </row>
    <row r="31" spans="1:11" ht="12.45" customHeight="1">
      <c r="A31" s="131" t="s">
        <v>204</v>
      </c>
      <c r="B31" s="105">
        <v>1014000</v>
      </c>
      <c r="C31" s="9">
        <v>848000</v>
      </c>
      <c r="D31" s="9">
        <v>500000</v>
      </c>
      <c r="E31" s="9">
        <v>110000</v>
      </c>
      <c r="F31" s="9">
        <v>238000</v>
      </c>
      <c r="G31" s="9">
        <v>36000</v>
      </c>
      <c r="H31" s="265">
        <v>130000</v>
      </c>
      <c r="I31" s="272">
        <f t="shared" si="0"/>
        <v>0.83629191321499019</v>
      </c>
      <c r="J31" s="272">
        <f t="shared" si="1"/>
        <v>-3.5502958579881658E-2</v>
      </c>
      <c r="K31" s="272">
        <f t="shared" si="2"/>
        <v>-0.12820512820512819</v>
      </c>
    </row>
    <row r="32" spans="1:11" ht="12.45" customHeight="1">
      <c r="A32" s="131" t="s">
        <v>205</v>
      </c>
      <c r="B32" s="105">
        <v>717000</v>
      </c>
      <c r="C32" s="9">
        <v>567000</v>
      </c>
      <c r="D32" s="9">
        <v>283000</v>
      </c>
      <c r="E32" s="9">
        <v>93000</v>
      </c>
      <c r="F32" s="9">
        <v>191000</v>
      </c>
      <c r="G32" s="9">
        <v>35000</v>
      </c>
      <c r="H32" s="265">
        <v>115000</v>
      </c>
      <c r="I32" s="272">
        <f t="shared" si="0"/>
        <v>0.79079497907949792</v>
      </c>
      <c r="J32" s="272">
        <f t="shared" si="1"/>
        <v>-4.8814504881450491E-2</v>
      </c>
      <c r="K32" s="272">
        <f t="shared" si="2"/>
        <v>-0.16039051603905161</v>
      </c>
    </row>
    <row r="33" spans="1:11" ht="12.45" customHeight="1">
      <c r="A33" s="129" t="s">
        <v>206</v>
      </c>
      <c r="B33" s="105">
        <v>9841000</v>
      </c>
      <c r="C33" s="9">
        <v>7822000</v>
      </c>
      <c r="D33" s="9">
        <v>439000</v>
      </c>
      <c r="E33" s="9">
        <v>5519000</v>
      </c>
      <c r="F33" s="9">
        <v>1863000</v>
      </c>
      <c r="G33" s="9">
        <v>265000</v>
      </c>
      <c r="H33" s="265">
        <v>1754000</v>
      </c>
      <c r="I33" s="272">
        <f t="shared" si="0"/>
        <v>0.79483792297530742</v>
      </c>
      <c r="J33" s="272">
        <f t="shared" si="1"/>
        <v>-2.6928157707550044E-2</v>
      </c>
      <c r="K33" s="272">
        <f t="shared" si="2"/>
        <v>-0.17823391931714258</v>
      </c>
    </row>
    <row r="34" spans="1:11" ht="12.45" customHeight="1">
      <c r="A34" s="130" t="s">
        <v>207</v>
      </c>
      <c r="B34" s="105">
        <v>7912000</v>
      </c>
      <c r="C34" s="9">
        <v>6364000</v>
      </c>
      <c r="D34" s="9">
        <v>190000</v>
      </c>
      <c r="E34" s="9">
        <v>4983000</v>
      </c>
      <c r="F34" s="9">
        <v>1191000</v>
      </c>
      <c r="G34" s="9">
        <v>212000</v>
      </c>
      <c r="H34" s="265">
        <v>1335000</v>
      </c>
      <c r="I34" s="272">
        <f t="shared" si="0"/>
        <v>0.80434782608695654</v>
      </c>
      <c r="J34" s="272">
        <f t="shared" si="1"/>
        <v>-2.6794742163801819E-2</v>
      </c>
      <c r="K34" s="272">
        <f t="shared" si="2"/>
        <v>-0.16873104145601617</v>
      </c>
    </row>
    <row r="35" spans="1:11" ht="24.75" customHeight="1">
      <c r="A35" s="130" t="s">
        <v>208</v>
      </c>
      <c r="B35" s="106">
        <v>637000</v>
      </c>
      <c r="C35" s="11">
        <v>429000</v>
      </c>
      <c r="D35" s="11">
        <v>30000</v>
      </c>
      <c r="E35" s="11">
        <v>223000</v>
      </c>
      <c r="F35" s="11">
        <v>175000</v>
      </c>
      <c r="G35" s="11">
        <v>11000</v>
      </c>
      <c r="H35" s="266">
        <v>197000</v>
      </c>
      <c r="I35" s="272">
        <f t="shared" si="0"/>
        <v>0.67346938775510201</v>
      </c>
      <c r="J35" s="272">
        <f t="shared" si="1"/>
        <v>-1.726844583987441E-2</v>
      </c>
      <c r="K35" s="272">
        <f t="shared" si="2"/>
        <v>-0.30926216640502358</v>
      </c>
    </row>
    <row r="36" spans="1:11" ht="12.45" customHeight="1">
      <c r="A36" s="130" t="s">
        <v>209</v>
      </c>
      <c r="B36" s="105">
        <v>638000</v>
      </c>
      <c r="C36" s="9">
        <v>488000</v>
      </c>
      <c r="D36" s="9">
        <v>170000</v>
      </c>
      <c r="E36" s="9">
        <v>92000</v>
      </c>
      <c r="F36" s="9">
        <v>226000</v>
      </c>
      <c r="G36" s="9">
        <v>22000</v>
      </c>
      <c r="H36" s="265">
        <v>128000</v>
      </c>
      <c r="I36" s="272">
        <f t="shared" si="0"/>
        <v>0.76489028213166144</v>
      </c>
      <c r="J36" s="272">
        <f t="shared" si="1"/>
        <v>-3.4482758620689655E-2</v>
      </c>
      <c r="K36" s="272">
        <f t="shared" si="2"/>
        <v>-0.20062695924764889</v>
      </c>
    </row>
    <row r="37" spans="1:11" ht="12.45" customHeight="1">
      <c r="A37" s="130" t="s">
        <v>210</v>
      </c>
      <c r="B37" s="105">
        <v>654000</v>
      </c>
      <c r="C37" s="9">
        <v>541000</v>
      </c>
      <c r="D37" s="9">
        <v>48000</v>
      </c>
      <c r="E37" s="9">
        <v>221000</v>
      </c>
      <c r="F37" s="9">
        <v>271000</v>
      </c>
      <c r="G37" s="9">
        <v>19000</v>
      </c>
      <c r="H37" s="265">
        <v>94000</v>
      </c>
      <c r="I37" s="272">
        <f t="shared" si="0"/>
        <v>0.827217125382263</v>
      </c>
      <c r="J37" s="272">
        <f t="shared" si="1"/>
        <v>-2.9051987767584098E-2</v>
      </c>
      <c r="K37" s="272">
        <f t="shared" si="2"/>
        <v>-0.14373088685015289</v>
      </c>
    </row>
    <row r="38" spans="1:11" ht="12.45" customHeight="1">
      <c r="A38" s="129" t="s">
        <v>211</v>
      </c>
      <c r="B38" s="105">
        <v>37395000</v>
      </c>
      <c r="C38" s="9">
        <v>27535000</v>
      </c>
      <c r="D38" s="9">
        <v>1396000</v>
      </c>
      <c r="E38" s="9">
        <v>1597000</v>
      </c>
      <c r="F38" s="9">
        <v>24541000</v>
      </c>
      <c r="G38" s="9">
        <v>1956000</v>
      </c>
      <c r="H38" s="265">
        <v>7904000</v>
      </c>
      <c r="I38" s="272">
        <f t="shared" si="0"/>
        <v>0.73632838614788076</v>
      </c>
      <c r="J38" s="272">
        <f t="shared" si="1"/>
        <v>-5.2306458082631367E-2</v>
      </c>
      <c r="K38" s="272">
        <f t="shared" si="2"/>
        <v>-0.21136515576948789</v>
      </c>
    </row>
    <row r="39" spans="1:11" ht="24.75" customHeight="1">
      <c r="A39" s="130" t="s">
        <v>212</v>
      </c>
      <c r="B39" s="106">
        <v>12410000</v>
      </c>
      <c r="C39" s="11">
        <v>9480000</v>
      </c>
      <c r="D39" s="11">
        <v>647000</v>
      </c>
      <c r="E39" s="11">
        <v>527000</v>
      </c>
      <c r="F39" s="11">
        <v>8305000</v>
      </c>
      <c r="G39" s="11">
        <v>663000</v>
      </c>
      <c r="H39" s="266">
        <v>2268000</v>
      </c>
      <c r="I39" s="272">
        <f t="shared" si="0"/>
        <v>0.76390008058017722</v>
      </c>
      <c r="J39" s="272">
        <f t="shared" si="1"/>
        <v>-5.3424657534246578E-2</v>
      </c>
      <c r="K39" s="272">
        <f t="shared" si="2"/>
        <v>-0.18275584206285253</v>
      </c>
    </row>
    <row r="40" spans="1:11" ht="24.75" customHeight="1">
      <c r="A40" s="130" t="s">
        <v>213</v>
      </c>
      <c r="B40" s="106">
        <v>7473000</v>
      </c>
      <c r="C40" s="11">
        <v>5019000</v>
      </c>
      <c r="D40" s="11">
        <v>94000</v>
      </c>
      <c r="E40" s="11">
        <v>441000</v>
      </c>
      <c r="F40" s="11">
        <v>4484000</v>
      </c>
      <c r="G40" s="11">
        <v>179000</v>
      </c>
      <c r="H40" s="266">
        <v>2275000</v>
      </c>
      <c r="I40" s="272">
        <f t="shared" si="0"/>
        <v>0.67161782416700122</v>
      </c>
      <c r="J40" s="272">
        <f t="shared" si="1"/>
        <v>-2.3952897096213035E-2</v>
      </c>
      <c r="K40" s="272">
        <f t="shared" si="2"/>
        <v>-0.30442927873678577</v>
      </c>
    </row>
    <row r="41" spans="1:11" ht="12.45" customHeight="1">
      <c r="A41" s="130" t="s">
        <v>214</v>
      </c>
      <c r="B41" s="105">
        <v>1996000</v>
      </c>
      <c r="C41" s="9">
        <v>1466000</v>
      </c>
      <c r="D41" s="9">
        <v>77000</v>
      </c>
      <c r="E41" s="9">
        <v>65000</v>
      </c>
      <c r="F41" s="9">
        <v>1324000</v>
      </c>
      <c r="G41" s="9">
        <v>113000</v>
      </c>
      <c r="H41" s="265">
        <v>418000</v>
      </c>
      <c r="I41" s="272">
        <f t="shared" si="0"/>
        <v>0.73446893787575152</v>
      </c>
      <c r="J41" s="272">
        <f t="shared" si="1"/>
        <v>-5.6613226452905813E-2</v>
      </c>
      <c r="K41" s="272">
        <f t="shared" si="2"/>
        <v>-0.20941883767535069</v>
      </c>
    </row>
    <row r="42" spans="1:11" ht="12.45" customHeight="1">
      <c r="A42" s="130" t="s">
        <v>215</v>
      </c>
      <c r="B42" s="105">
        <v>1652000</v>
      </c>
      <c r="C42" s="9">
        <v>1293000</v>
      </c>
      <c r="D42" s="9">
        <v>61000</v>
      </c>
      <c r="E42" s="9">
        <v>62000</v>
      </c>
      <c r="F42" s="9">
        <v>1169000</v>
      </c>
      <c r="G42" s="9">
        <v>69000</v>
      </c>
      <c r="H42" s="265">
        <v>290000</v>
      </c>
      <c r="I42" s="272">
        <f t="shared" si="0"/>
        <v>0.78268765133171914</v>
      </c>
      <c r="J42" s="272">
        <f t="shared" si="1"/>
        <v>-4.1767554479418885E-2</v>
      </c>
      <c r="K42" s="272">
        <f t="shared" si="2"/>
        <v>-0.17554479418886199</v>
      </c>
    </row>
    <row r="43" spans="1:11" ht="12.45" customHeight="1">
      <c r="A43" s="130" t="s">
        <v>216</v>
      </c>
      <c r="B43" s="105">
        <v>6317000</v>
      </c>
      <c r="C43" s="9">
        <v>4526000</v>
      </c>
      <c r="D43" s="9">
        <v>273000</v>
      </c>
      <c r="E43" s="9">
        <v>299000</v>
      </c>
      <c r="F43" s="9">
        <v>3954000</v>
      </c>
      <c r="G43" s="9">
        <v>452000</v>
      </c>
      <c r="H43" s="265">
        <v>1340000</v>
      </c>
      <c r="I43" s="272">
        <f t="shared" si="0"/>
        <v>0.71647934145955361</v>
      </c>
      <c r="J43" s="272">
        <f t="shared" si="1"/>
        <v>-7.1552952350799434E-2</v>
      </c>
      <c r="K43" s="272">
        <f t="shared" si="2"/>
        <v>-0.21212600918157354</v>
      </c>
    </row>
    <row r="44" spans="1:11" ht="12.45" customHeight="1">
      <c r="A44" s="130" t="s">
        <v>217</v>
      </c>
      <c r="B44" s="105">
        <v>7546000</v>
      </c>
      <c r="C44" s="9">
        <v>5752000</v>
      </c>
      <c r="D44" s="9">
        <v>244000</v>
      </c>
      <c r="E44" s="9">
        <v>203000</v>
      </c>
      <c r="F44" s="9">
        <v>5305000</v>
      </c>
      <c r="G44" s="9">
        <v>480000</v>
      </c>
      <c r="H44" s="265">
        <v>1314000</v>
      </c>
      <c r="I44" s="272">
        <f t="shared" si="0"/>
        <v>0.76225815001325203</v>
      </c>
      <c r="J44" s="272">
        <f t="shared" si="1"/>
        <v>-6.360985952822687E-2</v>
      </c>
      <c r="K44" s="272">
        <f t="shared" si="2"/>
        <v>-0.17413199045852107</v>
      </c>
    </row>
    <row r="45" spans="1:11" ht="12.45" customHeight="1">
      <c r="A45" s="125" t="s">
        <v>218</v>
      </c>
      <c r="B45" s="124">
        <v>42870000</v>
      </c>
      <c r="C45" s="119">
        <v>31688000</v>
      </c>
      <c r="D45" s="119">
        <v>4438000</v>
      </c>
      <c r="E45" s="119">
        <v>5031000</v>
      </c>
      <c r="F45" s="119">
        <v>22219000</v>
      </c>
      <c r="G45" s="119">
        <v>2349000</v>
      </c>
      <c r="H45" s="267">
        <v>8832000</v>
      </c>
      <c r="I45" s="272">
        <f t="shared" si="0"/>
        <v>0.73916491719150923</v>
      </c>
      <c r="J45" s="272">
        <f t="shared" si="1"/>
        <v>-5.4793561931420577E-2</v>
      </c>
      <c r="K45" s="272">
        <f t="shared" si="2"/>
        <v>-0.2060181945416375</v>
      </c>
    </row>
    <row r="46" spans="1:11">
      <c r="A46" s="120" t="s">
        <v>178</v>
      </c>
      <c r="B46" s="107">
        <v>15014000</v>
      </c>
      <c r="C46" s="7">
        <v>11377000</v>
      </c>
      <c r="D46" s="7">
        <v>3499000</v>
      </c>
      <c r="E46" s="7">
        <v>1692000</v>
      </c>
      <c r="F46" s="7">
        <v>6187000</v>
      </c>
      <c r="G46" s="7">
        <v>719000</v>
      </c>
      <c r="H46" s="268">
        <v>2918000</v>
      </c>
      <c r="I46" s="272">
        <f>C46/B46</f>
        <v>0.75775942453709866</v>
      </c>
      <c r="J46" s="272">
        <f t="shared" si="1"/>
        <v>-4.7888637271879579E-2</v>
      </c>
      <c r="K46" s="272">
        <f t="shared" si="2"/>
        <v>-0.1943519381910217</v>
      </c>
    </row>
    <row r="47" spans="1:11" ht="24">
      <c r="A47" s="121" t="s">
        <v>179</v>
      </c>
      <c r="B47" s="106">
        <v>2440000</v>
      </c>
      <c r="C47" s="11">
        <v>1773000</v>
      </c>
      <c r="D47" s="11">
        <v>371000</v>
      </c>
      <c r="E47" s="11">
        <v>489000</v>
      </c>
      <c r="F47" s="11">
        <v>913000</v>
      </c>
      <c r="G47" s="11">
        <v>125000</v>
      </c>
      <c r="H47" s="266">
        <v>542000</v>
      </c>
      <c r="I47" s="272">
        <f t="shared" ref="I47:I84" si="3">C47/B47</f>
        <v>0.72663934426229504</v>
      </c>
      <c r="J47" s="272">
        <f t="shared" si="1"/>
        <v>-5.1229508196721313E-2</v>
      </c>
      <c r="K47" s="272">
        <f t="shared" si="2"/>
        <v>-0.22213114754098362</v>
      </c>
    </row>
    <row r="48" spans="1:11">
      <c r="A48" s="122" t="s">
        <v>180</v>
      </c>
      <c r="B48" s="106">
        <v>320000</v>
      </c>
      <c r="C48" s="11">
        <v>239000</v>
      </c>
      <c r="D48" s="11">
        <v>39000</v>
      </c>
      <c r="E48" s="11">
        <v>33000</v>
      </c>
      <c r="F48" s="11">
        <v>167000</v>
      </c>
      <c r="G48" s="16" t="s">
        <v>191</v>
      </c>
      <c r="H48" s="266">
        <v>69000</v>
      </c>
      <c r="I48" s="272">
        <f t="shared" si="3"/>
        <v>0.74687499999999996</v>
      </c>
      <c r="J48" s="272" t="e">
        <f t="shared" si="1"/>
        <v>#VALUE!</v>
      </c>
      <c r="K48" s="272">
        <f t="shared" si="2"/>
        <v>-0.21562500000000001</v>
      </c>
    </row>
    <row r="49" spans="1:11">
      <c r="A49" s="122" t="s">
        <v>181</v>
      </c>
      <c r="B49" s="105">
        <v>1824000</v>
      </c>
      <c r="C49" s="9">
        <v>1301000</v>
      </c>
      <c r="D49" s="9">
        <v>281000</v>
      </c>
      <c r="E49" s="9">
        <v>433000</v>
      </c>
      <c r="F49" s="9">
        <v>587000</v>
      </c>
      <c r="G49" s="9">
        <v>100000</v>
      </c>
      <c r="H49" s="265">
        <v>422000</v>
      </c>
      <c r="I49" s="272">
        <f t="shared" si="3"/>
        <v>0.71326754385964908</v>
      </c>
      <c r="J49" s="272">
        <f t="shared" si="1"/>
        <v>-5.4824561403508769E-2</v>
      </c>
      <c r="K49" s="272">
        <f t="shared" si="2"/>
        <v>-0.23135964912280702</v>
      </c>
    </row>
    <row r="50" spans="1:11">
      <c r="A50" s="122" t="s">
        <v>182</v>
      </c>
      <c r="B50" s="105">
        <v>297000</v>
      </c>
      <c r="C50" s="9">
        <v>232000</v>
      </c>
      <c r="D50" s="9">
        <v>51000</v>
      </c>
      <c r="E50" s="9">
        <v>23000</v>
      </c>
      <c r="F50" s="9">
        <v>159000</v>
      </c>
      <c r="G50" s="9">
        <v>14000</v>
      </c>
      <c r="H50" s="265">
        <v>51000</v>
      </c>
      <c r="I50" s="272">
        <f t="shared" si="3"/>
        <v>0.78114478114478114</v>
      </c>
      <c r="J50" s="272">
        <f t="shared" si="1"/>
        <v>-4.7138047138047139E-2</v>
      </c>
      <c r="K50" s="272">
        <f t="shared" si="2"/>
        <v>-0.17171717171717171</v>
      </c>
    </row>
    <row r="51" spans="1:11">
      <c r="A51" s="121" t="s">
        <v>183</v>
      </c>
      <c r="B51" s="106">
        <v>2623000</v>
      </c>
      <c r="C51" s="11">
        <v>2133000</v>
      </c>
      <c r="D51" s="11">
        <v>1137000</v>
      </c>
      <c r="E51" s="11">
        <v>321000</v>
      </c>
      <c r="F51" s="11">
        <v>675000</v>
      </c>
      <c r="G51" s="11">
        <v>106000</v>
      </c>
      <c r="H51" s="266">
        <v>384000</v>
      </c>
      <c r="I51" s="272">
        <f t="shared" si="3"/>
        <v>0.81319100266869992</v>
      </c>
      <c r="J51" s="272">
        <f t="shared" si="1"/>
        <v>-4.0411742279832255E-2</v>
      </c>
      <c r="K51" s="272">
        <f t="shared" si="2"/>
        <v>-0.14639725505146778</v>
      </c>
    </row>
    <row r="52" spans="1:11">
      <c r="A52" s="122" t="s">
        <v>184</v>
      </c>
      <c r="B52" s="106">
        <v>1994000</v>
      </c>
      <c r="C52" s="11">
        <v>1694000</v>
      </c>
      <c r="D52" s="11">
        <v>1024000</v>
      </c>
      <c r="E52" s="11">
        <v>214000</v>
      </c>
      <c r="F52" s="11">
        <v>456000</v>
      </c>
      <c r="G52" s="11">
        <v>85000</v>
      </c>
      <c r="H52" s="266">
        <v>216000</v>
      </c>
      <c r="I52" s="272">
        <f t="shared" si="3"/>
        <v>0.84954864593781343</v>
      </c>
      <c r="J52" s="272">
        <f t="shared" si="1"/>
        <v>-4.2627883650952859E-2</v>
      </c>
      <c r="K52" s="272">
        <f t="shared" si="2"/>
        <v>-0.10832497492477432</v>
      </c>
    </row>
    <row r="53" spans="1:11">
      <c r="A53" s="122" t="s">
        <v>185</v>
      </c>
      <c r="B53" s="105">
        <v>628000</v>
      </c>
      <c r="C53" s="9">
        <v>440000</v>
      </c>
      <c r="D53" s="9">
        <v>113000</v>
      </c>
      <c r="E53" s="9">
        <v>107000</v>
      </c>
      <c r="F53" s="9">
        <v>219000</v>
      </c>
      <c r="G53" s="9">
        <v>21000</v>
      </c>
      <c r="H53" s="265">
        <v>168000</v>
      </c>
      <c r="I53" s="272">
        <f t="shared" si="3"/>
        <v>0.70063694267515919</v>
      </c>
      <c r="J53" s="272">
        <f t="shared" si="1"/>
        <v>-3.3439490445859872E-2</v>
      </c>
      <c r="K53" s="272">
        <f t="shared" si="2"/>
        <v>-0.26751592356687898</v>
      </c>
    </row>
    <row r="54" spans="1:11">
      <c r="A54" s="121" t="s">
        <v>186</v>
      </c>
      <c r="B54" s="105">
        <v>692000</v>
      </c>
      <c r="C54" s="9">
        <v>517000</v>
      </c>
      <c r="D54" s="9">
        <v>199000</v>
      </c>
      <c r="E54" s="9">
        <v>99000</v>
      </c>
      <c r="F54" s="9">
        <v>218000</v>
      </c>
      <c r="G54" s="9">
        <v>31000</v>
      </c>
      <c r="H54" s="265">
        <v>144000</v>
      </c>
      <c r="I54" s="272">
        <f t="shared" si="3"/>
        <v>0.74710982658959535</v>
      </c>
      <c r="J54" s="272">
        <f t="shared" si="1"/>
        <v>-4.4797687861271675E-2</v>
      </c>
      <c r="K54" s="272">
        <f t="shared" si="2"/>
        <v>-0.20809248554913296</v>
      </c>
    </row>
    <row r="55" spans="1:11">
      <c r="A55" s="122" t="s">
        <v>187</v>
      </c>
      <c r="B55" s="106">
        <v>301000</v>
      </c>
      <c r="C55" s="11">
        <v>221000</v>
      </c>
      <c r="D55" s="11">
        <v>93000</v>
      </c>
      <c r="E55" s="11">
        <v>55000</v>
      </c>
      <c r="F55" s="11">
        <v>73000</v>
      </c>
      <c r="G55" s="11">
        <v>12000</v>
      </c>
      <c r="H55" s="266">
        <v>68000</v>
      </c>
      <c r="I55" s="272">
        <f t="shared" si="3"/>
        <v>0.73421926910299007</v>
      </c>
      <c r="J55" s="272">
        <f t="shared" si="1"/>
        <v>-3.9867109634551492E-2</v>
      </c>
      <c r="K55" s="272">
        <f t="shared" si="2"/>
        <v>-0.22591362126245848</v>
      </c>
    </row>
    <row r="56" spans="1:11">
      <c r="A56" s="122" t="s">
        <v>188</v>
      </c>
      <c r="B56" s="106">
        <v>213000</v>
      </c>
      <c r="C56" s="11">
        <v>172000</v>
      </c>
      <c r="D56" s="11">
        <v>54000</v>
      </c>
      <c r="E56" s="11">
        <v>24000</v>
      </c>
      <c r="F56" s="11">
        <v>94000</v>
      </c>
      <c r="G56" s="11">
        <v>5000</v>
      </c>
      <c r="H56" s="266">
        <v>37000</v>
      </c>
      <c r="I56" s="272">
        <f t="shared" si="3"/>
        <v>0.80751173708920188</v>
      </c>
      <c r="J56" s="272">
        <f t="shared" si="1"/>
        <v>-2.3474178403755867E-2</v>
      </c>
      <c r="K56" s="272">
        <f t="shared" si="2"/>
        <v>-0.17370892018779344</v>
      </c>
    </row>
    <row r="57" spans="1:11">
      <c r="A57" s="122" t="s">
        <v>189</v>
      </c>
      <c r="B57" s="105">
        <v>154000</v>
      </c>
      <c r="C57" s="9">
        <v>106000</v>
      </c>
      <c r="D57" s="9">
        <v>49000</v>
      </c>
      <c r="E57" s="9">
        <v>16000</v>
      </c>
      <c r="F57" s="9">
        <v>40000</v>
      </c>
      <c r="G57" s="9">
        <v>12000</v>
      </c>
      <c r="H57" s="265">
        <v>35000</v>
      </c>
      <c r="I57" s="272">
        <f t="shared" si="3"/>
        <v>0.68831168831168832</v>
      </c>
      <c r="J57" s="272">
        <f t="shared" si="1"/>
        <v>-7.792207792207792E-2</v>
      </c>
      <c r="K57" s="272">
        <f t="shared" si="2"/>
        <v>-0.22727272727272727</v>
      </c>
    </row>
    <row r="58" spans="1:11">
      <c r="A58" s="122" t="s">
        <v>190</v>
      </c>
      <c r="B58" s="105">
        <v>23000</v>
      </c>
      <c r="C58" s="9">
        <v>17000</v>
      </c>
      <c r="D58" s="13" t="s">
        <v>191</v>
      </c>
      <c r="E58" s="9">
        <v>4000</v>
      </c>
      <c r="F58" s="9">
        <v>11000</v>
      </c>
      <c r="G58" s="13" t="s">
        <v>191</v>
      </c>
      <c r="H58" s="269" t="s">
        <v>191</v>
      </c>
      <c r="I58" s="272">
        <f t="shared" si="3"/>
        <v>0.73913043478260865</v>
      </c>
      <c r="J58" s="272" t="e">
        <f t="shared" si="1"/>
        <v>#VALUE!</v>
      </c>
      <c r="K58" s="272" t="e">
        <f t="shared" si="2"/>
        <v>#VALUE!</v>
      </c>
    </row>
    <row r="59" spans="1:11">
      <c r="A59" s="121" t="s">
        <v>192</v>
      </c>
      <c r="B59" s="105">
        <v>5858000</v>
      </c>
      <c r="C59" s="9">
        <v>4229000</v>
      </c>
      <c r="D59" s="9">
        <v>321000</v>
      </c>
      <c r="E59" s="9">
        <v>353000</v>
      </c>
      <c r="F59" s="9">
        <v>3554000</v>
      </c>
      <c r="G59" s="9">
        <v>326000</v>
      </c>
      <c r="H59" s="265">
        <v>1303000</v>
      </c>
      <c r="I59" s="272">
        <f t="shared" si="3"/>
        <v>0.72191874359849784</v>
      </c>
      <c r="J59" s="272">
        <f t="shared" si="1"/>
        <v>-5.565039262546944E-2</v>
      </c>
      <c r="K59" s="272">
        <f t="shared" si="2"/>
        <v>-0.22243086377603277</v>
      </c>
    </row>
    <row r="60" spans="1:11">
      <c r="A60" s="122" t="s">
        <v>193</v>
      </c>
      <c r="B60" s="105">
        <v>937000</v>
      </c>
      <c r="C60" s="9">
        <v>714000</v>
      </c>
      <c r="D60" s="9">
        <v>67000</v>
      </c>
      <c r="E60" s="9">
        <v>34000</v>
      </c>
      <c r="F60" s="9">
        <v>613000</v>
      </c>
      <c r="G60" s="9">
        <v>34000</v>
      </c>
      <c r="H60" s="265">
        <v>189000</v>
      </c>
      <c r="I60" s="272">
        <f t="shared" si="3"/>
        <v>0.7620064034151548</v>
      </c>
      <c r="J60" s="272">
        <f t="shared" si="1"/>
        <v>-3.6286019210245463E-2</v>
      </c>
      <c r="K60" s="272">
        <f t="shared" si="2"/>
        <v>-0.20170757737459979</v>
      </c>
    </row>
    <row r="61" spans="1:11">
      <c r="A61" s="123" t="s">
        <v>194</v>
      </c>
      <c r="B61" s="105">
        <v>1088000</v>
      </c>
      <c r="C61" s="9">
        <v>777000</v>
      </c>
      <c r="D61" s="9">
        <v>52000</v>
      </c>
      <c r="E61" s="9">
        <v>53000</v>
      </c>
      <c r="F61" s="9">
        <v>671000</v>
      </c>
      <c r="G61" s="9">
        <v>72000</v>
      </c>
      <c r="H61" s="265">
        <v>239000</v>
      </c>
      <c r="I61" s="272">
        <f t="shared" si="3"/>
        <v>0.71415441176470584</v>
      </c>
      <c r="J61" s="272">
        <f t="shared" si="1"/>
        <v>-6.6176470588235295E-2</v>
      </c>
      <c r="K61" s="272">
        <f t="shared" si="2"/>
        <v>-0.21966911764705882</v>
      </c>
    </row>
    <row r="62" spans="1:11">
      <c r="A62" s="122" t="s">
        <v>195</v>
      </c>
      <c r="B62" s="105">
        <v>2112000</v>
      </c>
      <c r="C62" s="9">
        <v>1521000</v>
      </c>
      <c r="D62" s="9">
        <v>108000</v>
      </c>
      <c r="E62" s="9">
        <v>146000</v>
      </c>
      <c r="F62" s="9">
        <v>1267000</v>
      </c>
      <c r="G62" s="9">
        <v>113000</v>
      </c>
      <c r="H62" s="265">
        <v>478000</v>
      </c>
      <c r="I62" s="272">
        <f t="shared" si="3"/>
        <v>0.72017045454545459</v>
      </c>
      <c r="J62" s="272">
        <f t="shared" si="1"/>
        <v>-5.350378787878788E-2</v>
      </c>
      <c r="K62" s="272">
        <f t="shared" si="2"/>
        <v>-0.22632575757575757</v>
      </c>
    </row>
    <row r="63" spans="1:11">
      <c r="A63" s="122" t="s">
        <v>196</v>
      </c>
      <c r="B63" s="105">
        <v>1132000</v>
      </c>
      <c r="C63" s="9">
        <v>800000</v>
      </c>
      <c r="D63" s="9">
        <v>54000</v>
      </c>
      <c r="E63" s="9">
        <v>66000</v>
      </c>
      <c r="F63" s="9">
        <v>680000</v>
      </c>
      <c r="G63" s="9">
        <v>64000</v>
      </c>
      <c r="H63" s="265">
        <v>268000</v>
      </c>
      <c r="I63" s="272">
        <f t="shared" si="3"/>
        <v>0.70671378091872794</v>
      </c>
      <c r="J63" s="272">
        <f t="shared" si="1"/>
        <v>-5.6537102473498232E-2</v>
      </c>
      <c r="K63" s="272">
        <f t="shared" si="2"/>
        <v>-0.23674911660777384</v>
      </c>
    </row>
    <row r="64" spans="1:11">
      <c r="A64" s="122" t="s">
        <v>197</v>
      </c>
      <c r="B64" s="105">
        <v>589000</v>
      </c>
      <c r="C64" s="9">
        <v>417000</v>
      </c>
      <c r="D64" s="9">
        <v>39000</v>
      </c>
      <c r="E64" s="9">
        <v>55000</v>
      </c>
      <c r="F64" s="9">
        <v>323000</v>
      </c>
      <c r="G64" s="9">
        <v>43000</v>
      </c>
      <c r="H64" s="265">
        <v>128000</v>
      </c>
      <c r="I64" s="272">
        <f t="shared" si="3"/>
        <v>0.70797962648556878</v>
      </c>
      <c r="J64" s="272">
        <f t="shared" si="1"/>
        <v>-7.3005093378607805E-2</v>
      </c>
      <c r="K64" s="272">
        <f t="shared" si="2"/>
        <v>-0.21731748726655348</v>
      </c>
    </row>
    <row r="65" spans="1:11">
      <c r="A65" s="121" t="s">
        <v>198</v>
      </c>
      <c r="B65" s="105">
        <v>3402000</v>
      </c>
      <c r="C65" s="9">
        <v>2725000</v>
      </c>
      <c r="D65" s="9">
        <v>1470000</v>
      </c>
      <c r="E65" s="9">
        <v>428000</v>
      </c>
      <c r="F65" s="9">
        <v>827000</v>
      </c>
      <c r="G65" s="9">
        <v>131000</v>
      </c>
      <c r="H65" s="265">
        <v>546000</v>
      </c>
      <c r="I65" s="272">
        <f t="shared" si="3"/>
        <v>0.80099941211052317</v>
      </c>
      <c r="J65" s="272">
        <f t="shared" si="1"/>
        <v>-3.8506760728982951E-2</v>
      </c>
      <c r="K65" s="272">
        <f t="shared" si="2"/>
        <v>-0.16049382716049382</v>
      </c>
    </row>
    <row r="66" spans="1:11" ht="24">
      <c r="A66" s="122" t="s">
        <v>199</v>
      </c>
      <c r="B66" s="106">
        <v>114000</v>
      </c>
      <c r="C66" s="11">
        <v>86000</v>
      </c>
      <c r="D66" s="11">
        <v>47000</v>
      </c>
      <c r="E66" s="11">
        <v>9000</v>
      </c>
      <c r="F66" s="11">
        <v>30000</v>
      </c>
      <c r="G66" s="11">
        <v>4000</v>
      </c>
      <c r="H66" s="266">
        <v>23000</v>
      </c>
      <c r="I66" s="272">
        <f t="shared" si="3"/>
        <v>0.75438596491228072</v>
      </c>
      <c r="J66" s="272">
        <f t="shared" si="1"/>
        <v>-3.5087719298245612E-2</v>
      </c>
      <c r="K66" s="272">
        <f t="shared" si="2"/>
        <v>-0.20175438596491227</v>
      </c>
    </row>
    <row r="67" spans="1:11">
      <c r="A67" s="122" t="s">
        <v>200</v>
      </c>
      <c r="B67" s="105">
        <v>248000</v>
      </c>
      <c r="C67" s="9">
        <v>202000</v>
      </c>
      <c r="D67" s="9">
        <v>112000</v>
      </c>
      <c r="E67" s="9">
        <v>25000</v>
      </c>
      <c r="F67" s="9">
        <v>65000</v>
      </c>
      <c r="G67" s="9">
        <v>7000</v>
      </c>
      <c r="H67" s="265">
        <v>38000</v>
      </c>
      <c r="I67" s="272">
        <f t="shared" si="3"/>
        <v>0.81451612903225812</v>
      </c>
      <c r="J67" s="272">
        <f t="shared" si="1"/>
        <v>-2.8225806451612902E-2</v>
      </c>
      <c r="K67" s="272">
        <f t="shared" si="2"/>
        <v>-0.15322580645161291</v>
      </c>
    </row>
    <row r="68" spans="1:11">
      <c r="A68" s="122" t="s">
        <v>201</v>
      </c>
      <c r="B68" s="106">
        <v>497000</v>
      </c>
      <c r="C68" s="11">
        <v>395000</v>
      </c>
      <c r="D68" s="11">
        <v>194000</v>
      </c>
      <c r="E68" s="11">
        <v>73000</v>
      </c>
      <c r="F68" s="11">
        <v>128000</v>
      </c>
      <c r="G68" s="11">
        <v>9000</v>
      </c>
      <c r="H68" s="266">
        <v>93000</v>
      </c>
      <c r="I68" s="272">
        <f t="shared" si="3"/>
        <v>0.79476861167002011</v>
      </c>
      <c r="J68" s="272">
        <f t="shared" si="1"/>
        <v>-1.8108651911468814E-2</v>
      </c>
      <c r="K68" s="272">
        <f t="shared" si="2"/>
        <v>-0.18712273641851107</v>
      </c>
    </row>
    <row r="69" spans="1:11">
      <c r="A69" s="122" t="s">
        <v>202</v>
      </c>
      <c r="B69" s="106">
        <v>1145000</v>
      </c>
      <c r="C69" s="11">
        <v>924000</v>
      </c>
      <c r="D69" s="11">
        <v>569000</v>
      </c>
      <c r="E69" s="11">
        <v>156000</v>
      </c>
      <c r="F69" s="11">
        <v>198000</v>
      </c>
      <c r="G69" s="11">
        <v>50000</v>
      </c>
      <c r="H69" s="266">
        <v>171000</v>
      </c>
      <c r="I69" s="272">
        <f t="shared" si="3"/>
        <v>0.80698689956331882</v>
      </c>
      <c r="J69" s="272">
        <f t="shared" si="1"/>
        <v>-4.3668122270742356E-2</v>
      </c>
      <c r="K69" s="272">
        <f t="shared" si="2"/>
        <v>-0.14934497816593886</v>
      </c>
    </row>
    <row r="70" spans="1:11">
      <c r="A70" s="122" t="s">
        <v>203</v>
      </c>
      <c r="B70" s="105">
        <v>209000</v>
      </c>
      <c r="C70" s="9">
        <v>154000</v>
      </c>
      <c r="D70" s="9">
        <v>46000</v>
      </c>
      <c r="E70" s="9">
        <v>26000</v>
      </c>
      <c r="F70" s="9">
        <v>82000</v>
      </c>
      <c r="G70" s="13" t="s">
        <v>191</v>
      </c>
      <c r="H70" s="265">
        <v>45000</v>
      </c>
      <c r="I70" s="272">
        <f t="shared" si="3"/>
        <v>0.73684210526315785</v>
      </c>
      <c r="J70" s="272" t="e">
        <f t="shared" ref="J70:J133" si="4">(G70/$B70)*-1</f>
        <v>#VALUE!</v>
      </c>
      <c r="K70" s="272">
        <f t="shared" ref="K70:K133" si="5">(H70/$B70)*-1</f>
        <v>-0.21531100478468901</v>
      </c>
    </row>
    <row r="71" spans="1:11">
      <c r="A71" s="122" t="s">
        <v>204</v>
      </c>
      <c r="B71" s="105">
        <v>799000</v>
      </c>
      <c r="C71" s="9">
        <v>660000</v>
      </c>
      <c r="D71" s="9">
        <v>372000</v>
      </c>
      <c r="E71" s="9">
        <v>85000</v>
      </c>
      <c r="F71" s="9">
        <v>203000</v>
      </c>
      <c r="G71" s="9">
        <v>29000</v>
      </c>
      <c r="H71" s="265">
        <v>110000</v>
      </c>
      <c r="I71" s="272">
        <f t="shared" si="3"/>
        <v>0.82603254067584475</v>
      </c>
      <c r="J71" s="272">
        <f t="shared" si="4"/>
        <v>-3.629536921151439E-2</v>
      </c>
      <c r="K71" s="272">
        <f t="shared" si="5"/>
        <v>-0.13767209011264081</v>
      </c>
    </row>
    <row r="72" spans="1:11">
      <c r="A72" s="122" t="s">
        <v>205</v>
      </c>
      <c r="B72" s="105">
        <v>391000</v>
      </c>
      <c r="C72" s="9">
        <v>304000</v>
      </c>
      <c r="D72" s="9">
        <v>130000</v>
      </c>
      <c r="E72" s="9">
        <v>52000</v>
      </c>
      <c r="F72" s="9">
        <v>121000</v>
      </c>
      <c r="G72" s="9">
        <v>23000</v>
      </c>
      <c r="H72" s="265">
        <v>64000</v>
      </c>
      <c r="I72" s="272">
        <f t="shared" si="3"/>
        <v>0.77749360613810736</v>
      </c>
      <c r="J72" s="272">
        <f t="shared" si="4"/>
        <v>-5.8823529411764705E-2</v>
      </c>
      <c r="K72" s="272">
        <f t="shared" si="5"/>
        <v>-0.16368286445012789</v>
      </c>
    </row>
    <row r="73" spans="1:11">
      <c r="A73" s="120" t="s">
        <v>206</v>
      </c>
      <c r="B73" s="105">
        <v>5017000</v>
      </c>
      <c r="C73" s="9">
        <v>3821000</v>
      </c>
      <c r="D73" s="9">
        <v>203000</v>
      </c>
      <c r="E73" s="9">
        <v>2494000</v>
      </c>
      <c r="F73" s="9">
        <v>1123000</v>
      </c>
      <c r="G73" s="9">
        <v>149000</v>
      </c>
      <c r="H73" s="265">
        <v>1048000</v>
      </c>
      <c r="I73" s="272">
        <f t="shared" si="3"/>
        <v>0.76161052421765996</v>
      </c>
      <c r="J73" s="272">
        <f t="shared" si="4"/>
        <v>-2.9699023320709589E-2</v>
      </c>
      <c r="K73" s="272">
        <f t="shared" si="5"/>
        <v>-0.20888977476579629</v>
      </c>
    </row>
    <row r="74" spans="1:11">
      <c r="A74" s="121" t="s">
        <v>207</v>
      </c>
      <c r="B74" s="105">
        <v>3814000</v>
      </c>
      <c r="C74" s="9">
        <v>2912000</v>
      </c>
      <c r="D74" s="9">
        <v>57000</v>
      </c>
      <c r="E74" s="9">
        <v>2187000</v>
      </c>
      <c r="F74" s="9">
        <v>669000</v>
      </c>
      <c r="G74" s="9">
        <v>114000</v>
      </c>
      <c r="H74" s="265">
        <v>788000</v>
      </c>
      <c r="I74" s="272">
        <f t="shared" si="3"/>
        <v>0.7635028841111694</v>
      </c>
      <c r="J74" s="272">
        <f t="shared" si="4"/>
        <v>-2.9889879391714735E-2</v>
      </c>
      <c r="K74" s="272">
        <f t="shared" si="5"/>
        <v>-0.20660723649711588</v>
      </c>
    </row>
    <row r="75" spans="1:11">
      <c r="A75" s="121" t="s">
        <v>208</v>
      </c>
      <c r="B75" s="106">
        <v>270000</v>
      </c>
      <c r="C75" s="11">
        <v>171000</v>
      </c>
      <c r="D75" s="16" t="s">
        <v>191</v>
      </c>
      <c r="E75" s="11">
        <v>90000</v>
      </c>
      <c r="F75" s="11">
        <v>70000</v>
      </c>
      <c r="G75" s="16" t="s">
        <v>191</v>
      </c>
      <c r="H75" s="266">
        <v>95000</v>
      </c>
      <c r="I75" s="272">
        <f t="shared" si="3"/>
        <v>0.6333333333333333</v>
      </c>
      <c r="J75" s="272" t="e">
        <f t="shared" si="4"/>
        <v>#VALUE!</v>
      </c>
      <c r="K75" s="272">
        <f t="shared" si="5"/>
        <v>-0.35185185185185186</v>
      </c>
    </row>
    <row r="76" spans="1:11">
      <c r="A76" s="123" t="s">
        <v>209</v>
      </c>
      <c r="B76" s="105">
        <v>512000</v>
      </c>
      <c r="C76" s="9">
        <v>393000</v>
      </c>
      <c r="D76" s="9">
        <v>117000</v>
      </c>
      <c r="E76" s="9">
        <v>77000</v>
      </c>
      <c r="F76" s="9">
        <v>198000</v>
      </c>
      <c r="G76" s="9">
        <v>17000</v>
      </c>
      <c r="H76" s="265">
        <v>102000</v>
      </c>
      <c r="I76" s="272">
        <f t="shared" si="3"/>
        <v>0.767578125</v>
      </c>
      <c r="J76" s="272">
        <f t="shared" si="4"/>
        <v>-3.3203125E-2</v>
      </c>
      <c r="K76" s="272">
        <f t="shared" si="5"/>
        <v>-0.19921875</v>
      </c>
    </row>
    <row r="77" spans="1:11">
      <c r="A77" s="121" t="s">
        <v>210</v>
      </c>
      <c r="B77" s="105">
        <v>421000</v>
      </c>
      <c r="C77" s="9">
        <v>344000</v>
      </c>
      <c r="D77" s="9">
        <v>18000</v>
      </c>
      <c r="E77" s="9">
        <v>141000</v>
      </c>
      <c r="F77" s="9">
        <v>186000</v>
      </c>
      <c r="G77" s="9">
        <v>13000</v>
      </c>
      <c r="H77" s="265">
        <v>63000</v>
      </c>
      <c r="I77" s="272">
        <f t="shared" si="3"/>
        <v>0.81710213776722085</v>
      </c>
      <c r="J77" s="272">
        <f t="shared" si="4"/>
        <v>-3.0878859857482184E-2</v>
      </c>
      <c r="K77" s="272">
        <f t="shared" si="5"/>
        <v>-0.1496437054631829</v>
      </c>
    </row>
    <row r="78" spans="1:11">
      <c r="A78" s="120" t="s">
        <v>211</v>
      </c>
      <c r="B78" s="105">
        <v>22838000</v>
      </c>
      <c r="C78" s="9">
        <v>16491000</v>
      </c>
      <c r="D78" s="9">
        <v>736000</v>
      </c>
      <c r="E78" s="9">
        <v>845000</v>
      </c>
      <c r="F78" s="9">
        <v>14909000</v>
      </c>
      <c r="G78" s="9">
        <v>1481000</v>
      </c>
      <c r="H78" s="265">
        <v>4866000</v>
      </c>
      <c r="I78" s="272">
        <f t="shared" si="3"/>
        <v>0.72208599702250631</v>
      </c>
      <c r="J78" s="272">
        <f t="shared" si="4"/>
        <v>-6.4848060250459763E-2</v>
      </c>
      <c r="K78" s="272">
        <f t="shared" si="5"/>
        <v>-0.21306594272703389</v>
      </c>
    </row>
    <row r="79" spans="1:11">
      <c r="A79" s="121" t="s">
        <v>212</v>
      </c>
      <c r="B79" s="106">
        <v>8222000</v>
      </c>
      <c r="C79" s="11">
        <v>6113000</v>
      </c>
      <c r="D79" s="11">
        <v>292000</v>
      </c>
      <c r="E79" s="11">
        <v>263000</v>
      </c>
      <c r="F79" s="11">
        <v>5558000</v>
      </c>
      <c r="G79" s="11">
        <v>488000</v>
      </c>
      <c r="H79" s="266">
        <v>1621000</v>
      </c>
      <c r="I79" s="272">
        <f t="shared" si="3"/>
        <v>0.74349306738019949</v>
      </c>
      <c r="J79" s="272">
        <f t="shared" si="4"/>
        <v>-5.9352955485283389E-2</v>
      </c>
      <c r="K79" s="272">
        <f t="shared" si="5"/>
        <v>-0.19715397713451716</v>
      </c>
    </row>
    <row r="80" spans="1:11" ht="24">
      <c r="A80" s="121" t="s">
        <v>213</v>
      </c>
      <c r="B80" s="106">
        <v>3067000</v>
      </c>
      <c r="C80" s="11">
        <v>1960000</v>
      </c>
      <c r="D80" s="11">
        <v>32000</v>
      </c>
      <c r="E80" s="11">
        <v>140000</v>
      </c>
      <c r="F80" s="11">
        <v>1788000</v>
      </c>
      <c r="G80" s="11">
        <v>86000</v>
      </c>
      <c r="H80" s="266">
        <v>1021000</v>
      </c>
      <c r="I80" s="272">
        <f t="shared" si="3"/>
        <v>0.63906097163351805</v>
      </c>
      <c r="J80" s="272">
        <f t="shared" si="4"/>
        <v>-2.8040430388001303E-2</v>
      </c>
      <c r="K80" s="272">
        <f t="shared" si="5"/>
        <v>-0.33289859797848059</v>
      </c>
    </row>
    <row r="81" spans="1:11">
      <c r="A81" s="123" t="s">
        <v>214</v>
      </c>
      <c r="B81" s="105">
        <v>790000</v>
      </c>
      <c r="C81" s="9">
        <v>542000</v>
      </c>
      <c r="D81" s="9">
        <v>26000</v>
      </c>
      <c r="E81" s="9">
        <v>18000</v>
      </c>
      <c r="F81" s="9">
        <v>498000</v>
      </c>
      <c r="G81" s="9">
        <v>59000</v>
      </c>
      <c r="H81" s="265">
        <v>189000</v>
      </c>
      <c r="I81" s="272">
        <f t="shared" si="3"/>
        <v>0.6860759493670886</v>
      </c>
      <c r="J81" s="272">
        <f t="shared" si="4"/>
        <v>-7.4683544303797464E-2</v>
      </c>
      <c r="K81" s="272">
        <f t="shared" si="5"/>
        <v>-0.23924050632911392</v>
      </c>
    </row>
    <row r="82" spans="1:11">
      <c r="A82" s="121" t="s">
        <v>215</v>
      </c>
      <c r="B82" s="105">
        <v>1338000</v>
      </c>
      <c r="C82" s="9">
        <v>1078000</v>
      </c>
      <c r="D82" s="9">
        <v>44000</v>
      </c>
      <c r="E82" s="9">
        <v>51000</v>
      </c>
      <c r="F82" s="9">
        <v>982000</v>
      </c>
      <c r="G82" s="9">
        <v>50000</v>
      </c>
      <c r="H82" s="265">
        <v>210000</v>
      </c>
      <c r="I82" s="272">
        <f t="shared" si="3"/>
        <v>0.8056801195814649</v>
      </c>
      <c r="J82" s="272">
        <f t="shared" si="4"/>
        <v>-3.7369207772795218E-2</v>
      </c>
      <c r="K82" s="272">
        <f t="shared" si="5"/>
        <v>-0.15695067264573992</v>
      </c>
    </row>
    <row r="83" spans="1:11">
      <c r="A83" s="121" t="s">
        <v>216</v>
      </c>
      <c r="B83" s="105">
        <v>5089000</v>
      </c>
      <c r="C83" s="9">
        <v>3626000</v>
      </c>
      <c r="D83" s="9">
        <v>231000</v>
      </c>
      <c r="E83" s="9">
        <v>251000</v>
      </c>
      <c r="F83" s="9">
        <v>3145000</v>
      </c>
      <c r="G83" s="9">
        <v>409000</v>
      </c>
      <c r="H83" s="265">
        <v>1055000</v>
      </c>
      <c r="I83" s="272">
        <f t="shared" si="3"/>
        <v>0.71251719394773039</v>
      </c>
      <c r="J83" s="272">
        <f t="shared" si="4"/>
        <v>-8.0369424248378854E-2</v>
      </c>
      <c r="K83" s="272">
        <f t="shared" si="5"/>
        <v>-0.20730988406366674</v>
      </c>
    </row>
    <row r="84" spans="1:11">
      <c r="A84" s="121" t="s">
        <v>217</v>
      </c>
      <c r="B84" s="105">
        <v>4332000</v>
      </c>
      <c r="C84" s="9">
        <v>3172000</v>
      </c>
      <c r="D84" s="9">
        <v>112000</v>
      </c>
      <c r="E84" s="9">
        <v>122000</v>
      </c>
      <c r="F84" s="9">
        <v>2938000</v>
      </c>
      <c r="G84" s="9">
        <v>390000</v>
      </c>
      <c r="H84" s="265">
        <v>771000</v>
      </c>
      <c r="I84" s="272">
        <f t="shared" si="3"/>
        <v>0.73222530009233611</v>
      </c>
      <c r="J84" s="272">
        <f t="shared" si="4"/>
        <v>-9.0027700831024932E-2</v>
      </c>
      <c r="K84" s="272">
        <f t="shared" si="5"/>
        <v>-0.17797783933518005</v>
      </c>
    </row>
    <row r="85" spans="1:11">
      <c r="A85" s="114" t="s">
        <v>219</v>
      </c>
      <c r="B85" s="297">
        <v>19296000</v>
      </c>
      <c r="C85" s="172">
        <v>14688000</v>
      </c>
      <c r="D85" s="172">
        <v>2411000</v>
      </c>
      <c r="E85" s="172">
        <v>2578000</v>
      </c>
      <c r="F85" s="172">
        <v>9699000</v>
      </c>
      <c r="G85" s="172">
        <v>673000</v>
      </c>
      <c r="H85" s="298">
        <v>3934000</v>
      </c>
      <c r="I85" s="272">
        <f>C85/B85</f>
        <v>0.76119402985074625</v>
      </c>
      <c r="J85" s="272">
        <f t="shared" si="4"/>
        <v>-3.487769485903814E-2</v>
      </c>
      <c r="K85" s="272">
        <f t="shared" si="5"/>
        <v>-0.20387645107794361</v>
      </c>
    </row>
    <row r="86" spans="1:11">
      <c r="A86" s="115" t="s">
        <v>178</v>
      </c>
      <c r="B86" s="105">
        <v>4703000</v>
      </c>
      <c r="C86" s="9">
        <v>3680000</v>
      </c>
      <c r="D86" s="9">
        <v>1671000</v>
      </c>
      <c r="E86" s="9">
        <v>552000</v>
      </c>
      <c r="F86" s="9">
        <v>1457000</v>
      </c>
      <c r="G86" s="9">
        <v>180000</v>
      </c>
      <c r="H86" s="265">
        <v>842000</v>
      </c>
      <c r="I86" s="272">
        <f t="shared" ref="I86:I123" si="6">C86/B86</f>
        <v>0.78247926855198813</v>
      </c>
      <c r="J86" s="272">
        <f t="shared" si="4"/>
        <v>-3.8273442483521158E-2</v>
      </c>
      <c r="K86" s="272">
        <f t="shared" si="5"/>
        <v>-0.17903465872847119</v>
      </c>
    </row>
    <row r="87" spans="1:11" ht="24">
      <c r="A87" s="116" t="s">
        <v>179</v>
      </c>
      <c r="B87" s="106">
        <v>547000</v>
      </c>
      <c r="C87" s="11">
        <v>417000</v>
      </c>
      <c r="D87" s="11">
        <v>157000</v>
      </c>
      <c r="E87" s="11">
        <v>104000</v>
      </c>
      <c r="F87" s="11">
        <v>157000</v>
      </c>
      <c r="G87" s="11">
        <v>16000</v>
      </c>
      <c r="H87" s="266">
        <v>114000</v>
      </c>
      <c r="I87" s="272">
        <f t="shared" si="6"/>
        <v>0.76234003656307125</v>
      </c>
      <c r="J87" s="272">
        <f t="shared" si="4"/>
        <v>-2.9250457038391225E-2</v>
      </c>
      <c r="K87" s="272">
        <f t="shared" si="5"/>
        <v>-0.20840950639853748</v>
      </c>
    </row>
    <row r="88" spans="1:11">
      <c r="A88" s="117" t="s">
        <v>180</v>
      </c>
      <c r="B88" s="106">
        <v>56000</v>
      </c>
      <c r="C88" s="11">
        <v>46000</v>
      </c>
      <c r="D88" s="11">
        <v>20000</v>
      </c>
      <c r="E88" s="11">
        <v>6000</v>
      </c>
      <c r="F88" s="11">
        <v>20000</v>
      </c>
      <c r="G88" s="16" t="s">
        <v>220</v>
      </c>
      <c r="H88" s="266">
        <v>10000</v>
      </c>
      <c r="I88" s="272">
        <f t="shared" si="6"/>
        <v>0.8214285714285714</v>
      </c>
      <c r="J88" s="272" t="e">
        <f t="shared" si="4"/>
        <v>#VALUE!</v>
      </c>
      <c r="K88" s="272">
        <f t="shared" si="5"/>
        <v>-0.17857142857142858</v>
      </c>
    </row>
    <row r="89" spans="1:11">
      <c r="A89" s="117" t="s">
        <v>181</v>
      </c>
      <c r="B89" s="105">
        <v>380000</v>
      </c>
      <c r="C89" s="9">
        <v>286000</v>
      </c>
      <c r="D89" s="9">
        <v>107000</v>
      </c>
      <c r="E89" s="9">
        <v>85000</v>
      </c>
      <c r="F89" s="9">
        <v>93000</v>
      </c>
      <c r="G89" s="9">
        <v>12000</v>
      </c>
      <c r="H89" s="265">
        <v>82000</v>
      </c>
      <c r="I89" s="272">
        <f t="shared" si="6"/>
        <v>0.75263157894736843</v>
      </c>
      <c r="J89" s="272">
        <f t="shared" si="4"/>
        <v>-3.1578947368421054E-2</v>
      </c>
      <c r="K89" s="272">
        <f t="shared" si="5"/>
        <v>-0.21578947368421053</v>
      </c>
    </row>
    <row r="90" spans="1:11">
      <c r="A90" s="117" t="s">
        <v>182</v>
      </c>
      <c r="B90" s="105">
        <v>110000</v>
      </c>
      <c r="C90" s="9">
        <v>86000</v>
      </c>
      <c r="D90" s="9">
        <v>29000</v>
      </c>
      <c r="E90" s="9">
        <v>13000</v>
      </c>
      <c r="F90" s="9">
        <v>43000</v>
      </c>
      <c r="G90" s="9">
        <v>3000</v>
      </c>
      <c r="H90" s="265">
        <v>22000</v>
      </c>
      <c r="I90" s="272">
        <f t="shared" si="6"/>
        <v>0.78181818181818186</v>
      </c>
      <c r="J90" s="272">
        <f t="shared" si="4"/>
        <v>-2.7272727272727271E-2</v>
      </c>
      <c r="K90" s="272">
        <f t="shared" si="5"/>
        <v>-0.2</v>
      </c>
    </row>
    <row r="91" spans="1:11">
      <c r="A91" s="116" t="s">
        <v>183</v>
      </c>
      <c r="B91" s="106">
        <v>1125000</v>
      </c>
      <c r="C91" s="11">
        <v>888000</v>
      </c>
      <c r="D91" s="11">
        <v>560000</v>
      </c>
      <c r="E91" s="11">
        <v>132000</v>
      </c>
      <c r="F91" s="11">
        <v>195000</v>
      </c>
      <c r="G91" s="11">
        <v>56000</v>
      </c>
      <c r="H91" s="266">
        <v>181000</v>
      </c>
      <c r="I91" s="272">
        <f t="shared" si="6"/>
        <v>0.78933333333333333</v>
      </c>
      <c r="J91" s="272">
        <f t="shared" si="4"/>
        <v>-4.9777777777777775E-2</v>
      </c>
      <c r="K91" s="272">
        <f t="shared" si="5"/>
        <v>-0.16088888888888889</v>
      </c>
    </row>
    <row r="92" spans="1:11">
      <c r="A92" s="117" t="s">
        <v>184</v>
      </c>
      <c r="B92" s="106">
        <v>918000</v>
      </c>
      <c r="C92" s="11">
        <v>732000</v>
      </c>
      <c r="D92" s="11">
        <v>481000</v>
      </c>
      <c r="E92" s="11">
        <v>102000</v>
      </c>
      <c r="F92" s="11">
        <v>148000</v>
      </c>
      <c r="G92" s="11">
        <v>51000</v>
      </c>
      <c r="H92" s="266">
        <v>136000</v>
      </c>
      <c r="I92" s="272">
        <f t="shared" si="6"/>
        <v>0.79738562091503273</v>
      </c>
      <c r="J92" s="272">
        <f t="shared" si="4"/>
        <v>-5.5555555555555552E-2</v>
      </c>
      <c r="K92" s="272">
        <f t="shared" si="5"/>
        <v>-0.14814814814814814</v>
      </c>
    </row>
    <row r="93" spans="1:11">
      <c r="A93" s="117" t="s">
        <v>185</v>
      </c>
      <c r="B93" s="105">
        <v>207000</v>
      </c>
      <c r="C93" s="9">
        <v>156000</v>
      </c>
      <c r="D93" s="9">
        <v>79000</v>
      </c>
      <c r="E93" s="9">
        <v>30000</v>
      </c>
      <c r="F93" s="9">
        <v>47000</v>
      </c>
      <c r="G93" s="13" t="s">
        <v>191</v>
      </c>
      <c r="H93" s="265">
        <v>46000</v>
      </c>
      <c r="I93" s="272">
        <f t="shared" si="6"/>
        <v>0.75362318840579712</v>
      </c>
      <c r="J93" s="272" t="e">
        <f t="shared" si="4"/>
        <v>#VALUE!</v>
      </c>
      <c r="K93" s="272">
        <f t="shared" si="5"/>
        <v>-0.22222222222222221</v>
      </c>
    </row>
    <row r="94" spans="1:11">
      <c r="A94" s="116" t="s">
        <v>186</v>
      </c>
      <c r="B94" s="105">
        <v>223000</v>
      </c>
      <c r="C94" s="9">
        <v>174000</v>
      </c>
      <c r="D94" s="9">
        <v>106000</v>
      </c>
      <c r="E94" s="9">
        <v>29000</v>
      </c>
      <c r="F94" s="9">
        <v>39000</v>
      </c>
      <c r="G94" s="9">
        <v>4000</v>
      </c>
      <c r="H94" s="265">
        <v>45000</v>
      </c>
      <c r="I94" s="272">
        <f t="shared" si="6"/>
        <v>0.78026905829596416</v>
      </c>
      <c r="J94" s="272">
        <f t="shared" si="4"/>
        <v>-1.7937219730941704E-2</v>
      </c>
      <c r="K94" s="272">
        <f t="shared" si="5"/>
        <v>-0.20179372197309417</v>
      </c>
    </row>
    <row r="95" spans="1:11">
      <c r="A95" s="117" t="s">
        <v>187</v>
      </c>
      <c r="B95" s="106">
        <v>73000</v>
      </c>
      <c r="C95" s="11">
        <v>57000</v>
      </c>
      <c r="D95" s="11">
        <v>28000</v>
      </c>
      <c r="E95" s="11">
        <v>11000</v>
      </c>
      <c r="F95" s="11">
        <v>19000</v>
      </c>
      <c r="G95" s="11">
        <v>1000</v>
      </c>
      <c r="H95" s="266">
        <v>14000</v>
      </c>
      <c r="I95" s="272">
        <f t="shared" si="6"/>
        <v>0.78082191780821919</v>
      </c>
      <c r="J95" s="272">
        <f t="shared" si="4"/>
        <v>-1.3698630136986301E-2</v>
      </c>
      <c r="K95" s="272">
        <f t="shared" si="5"/>
        <v>-0.19178082191780821</v>
      </c>
    </row>
    <row r="96" spans="1:11">
      <c r="A96" s="117" t="s">
        <v>188</v>
      </c>
      <c r="B96" s="106">
        <v>73000</v>
      </c>
      <c r="C96" s="11">
        <v>59000</v>
      </c>
      <c r="D96" s="11">
        <v>39000</v>
      </c>
      <c r="E96" s="11">
        <v>6000</v>
      </c>
      <c r="F96" s="11">
        <v>14000</v>
      </c>
      <c r="G96" s="11">
        <v>1000</v>
      </c>
      <c r="H96" s="266">
        <v>13000</v>
      </c>
      <c r="I96" s="272">
        <f t="shared" si="6"/>
        <v>0.80821917808219179</v>
      </c>
      <c r="J96" s="272">
        <f t="shared" si="4"/>
        <v>-1.3698630136986301E-2</v>
      </c>
      <c r="K96" s="272">
        <f t="shared" si="5"/>
        <v>-0.17808219178082191</v>
      </c>
    </row>
    <row r="97" spans="1:11">
      <c r="A97" s="117" t="s">
        <v>189</v>
      </c>
      <c r="B97" s="105">
        <v>69000</v>
      </c>
      <c r="C97" s="9">
        <v>52000</v>
      </c>
      <c r="D97" s="9">
        <v>37000</v>
      </c>
      <c r="E97" s="9">
        <v>9000</v>
      </c>
      <c r="F97" s="9">
        <v>6000</v>
      </c>
      <c r="G97" s="9">
        <v>2000</v>
      </c>
      <c r="H97" s="265">
        <v>16000</v>
      </c>
      <c r="I97" s="272">
        <f t="shared" si="6"/>
        <v>0.75362318840579712</v>
      </c>
      <c r="J97" s="272">
        <f t="shared" si="4"/>
        <v>-2.8985507246376812E-2</v>
      </c>
      <c r="K97" s="272">
        <f t="shared" si="5"/>
        <v>-0.2318840579710145</v>
      </c>
    </row>
    <row r="98" spans="1:11">
      <c r="A98" s="117" t="s">
        <v>190</v>
      </c>
      <c r="B98" s="105">
        <v>8000</v>
      </c>
      <c r="C98" s="9">
        <v>6000</v>
      </c>
      <c r="D98" s="13" t="s">
        <v>191</v>
      </c>
      <c r="E98" s="13" t="s">
        <v>191</v>
      </c>
      <c r="F98" s="9">
        <v>1000</v>
      </c>
      <c r="G98" s="13" t="s">
        <v>220</v>
      </c>
      <c r="H98" s="269" t="s">
        <v>191</v>
      </c>
      <c r="I98" s="272">
        <f t="shared" si="6"/>
        <v>0.75</v>
      </c>
      <c r="J98" s="272" t="e">
        <f t="shared" si="4"/>
        <v>#VALUE!</v>
      </c>
      <c r="K98" s="272" t="e">
        <f t="shared" si="5"/>
        <v>#VALUE!</v>
      </c>
    </row>
    <row r="99" spans="1:11">
      <c r="A99" s="116" t="s">
        <v>192</v>
      </c>
      <c r="B99" s="105">
        <v>1569000</v>
      </c>
      <c r="C99" s="9">
        <v>1171000</v>
      </c>
      <c r="D99" s="9">
        <v>212000</v>
      </c>
      <c r="E99" s="9">
        <v>109000</v>
      </c>
      <c r="F99" s="9">
        <v>850000</v>
      </c>
      <c r="G99" s="9">
        <v>70000</v>
      </c>
      <c r="H99" s="265">
        <v>327000</v>
      </c>
      <c r="I99" s="272">
        <f t="shared" si="6"/>
        <v>0.74633524537922247</v>
      </c>
      <c r="J99" s="272">
        <f t="shared" si="4"/>
        <v>-4.4614404079031229E-2</v>
      </c>
      <c r="K99" s="272">
        <f t="shared" si="5"/>
        <v>-0.2084130019120459</v>
      </c>
    </row>
    <row r="100" spans="1:11">
      <c r="A100" s="117" t="s">
        <v>193</v>
      </c>
      <c r="B100" s="105">
        <v>151000</v>
      </c>
      <c r="C100" s="9">
        <v>114000</v>
      </c>
      <c r="D100" s="9">
        <v>30000</v>
      </c>
      <c r="E100" s="9">
        <v>2000</v>
      </c>
      <c r="F100" s="9">
        <v>81000</v>
      </c>
      <c r="G100" s="9">
        <v>3000</v>
      </c>
      <c r="H100" s="265">
        <v>35000</v>
      </c>
      <c r="I100" s="272">
        <f t="shared" si="6"/>
        <v>0.75496688741721851</v>
      </c>
      <c r="J100" s="272">
        <f t="shared" si="4"/>
        <v>-1.9867549668874173E-2</v>
      </c>
      <c r="K100" s="272">
        <f t="shared" si="5"/>
        <v>-0.23178807947019867</v>
      </c>
    </row>
    <row r="101" spans="1:11">
      <c r="A101" s="118" t="s">
        <v>194</v>
      </c>
      <c r="B101" s="105">
        <v>277000</v>
      </c>
      <c r="C101" s="9">
        <v>231000</v>
      </c>
      <c r="D101" s="9">
        <v>46000</v>
      </c>
      <c r="E101" s="9">
        <v>12000</v>
      </c>
      <c r="F101" s="9">
        <v>173000</v>
      </c>
      <c r="G101" s="9">
        <v>6000</v>
      </c>
      <c r="H101" s="265">
        <v>41000</v>
      </c>
      <c r="I101" s="272">
        <f t="shared" si="6"/>
        <v>0.83393501805054149</v>
      </c>
      <c r="J101" s="272">
        <f t="shared" si="4"/>
        <v>-2.1660649819494584E-2</v>
      </c>
      <c r="K101" s="272">
        <f t="shared" si="5"/>
        <v>-0.14801444043321299</v>
      </c>
    </row>
    <row r="102" spans="1:11">
      <c r="A102" s="117" t="s">
        <v>195</v>
      </c>
      <c r="B102" s="105">
        <v>848000</v>
      </c>
      <c r="C102" s="9">
        <v>602000</v>
      </c>
      <c r="D102" s="9">
        <v>96000</v>
      </c>
      <c r="E102" s="9">
        <v>73000</v>
      </c>
      <c r="F102" s="9">
        <v>433000</v>
      </c>
      <c r="G102" s="9">
        <v>49000</v>
      </c>
      <c r="H102" s="265">
        <v>198000</v>
      </c>
      <c r="I102" s="272">
        <f t="shared" si="6"/>
        <v>0.70990566037735847</v>
      </c>
      <c r="J102" s="272">
        <f t="shared" si="4"/>
        <v>-5.7783018867924529E-2</v>
      </c>
      <c r="K102" s="272">
        <f t="shared" si="5"/>
        <v>-0.23349056603773585</v>
      </c>
    </row>
    <row r="103" spans="1:11">
      <c r="A103" s="117" t="s">
        <v>196</v>
      </c>
      <c r="B103" s="105">
        <v>122000</v>
      </c>
      <c r="C103" s="9">
        <v>82000</v>
      </c>
      <c r="D103" s="9">
        <v>22000</v>
      </c>
      <c r="E103" s="9">
        <v>7000</v>
      </c>
      <c r="F103" s="9">
        <v>53000</v>
      </c>
      <c r="G103" s="9">
        <v>8000</v>
      </c>
      <c r="H103" s="265">
        <v>32000</v>
      </c>
      <c r="I103" s="272">
        <f t="shared" si="6"/>
        <v>0.67213114754098358</v>
      </c>
      <c r="J103" s="272">
        <f t="shared" si="4"/>
        <v>-6.5573770491803282E-2</v>
      </c>
      <c r="K103" s="272">
        <f t="shared" si="5"/>
        <v>-0.26229508196721313</v>
      </c>
    </row>
    <row r="104" spans="1:11">
      <c r="A104" s="117" t="s">
        <v>197</v>
      </c>
      <c r="B104" s="105">
        <v>171000</v>
      </c>
      <c r="C104" s="9">
        <v>142000</v>
      </c>
      <c r="D104" s="9">
        <v>18000</v>
      </c>
      <c r="E104" s="9">
        <v>15000</v>
      </c>
      <c r="F104" s="9">
        <v>110000</v>
      </c>
      <c r="G104" s="9">
        <v>6000</v>
      </c>
      <c r="H104" s="265">
        <v>23000</v>
      </c>
      <c r="I104" s="272">
        <f t="shared" si="6"/>
        <v>0.83040935672514615</v>
      </c>
      <c r="J104" s="272">
        <f t="shared" si="4"/>
        <v>-3.5087719298245612E-2</v>
      </c>
      <c r="K104" s="272">
        <f t="shared" si="5"/>
        <v>-0.13450292397660818</v>
      </c>
    </row>
    <row r="105" spans="1:11">
      <c r="A105" s="116" t="s">
        <v>198</v>
      </c>
      <c r="B105" s="105">
        <v>1239000</v>
      </c>
      <c r="C105" s="9">
        <v>1030000</v>
      </c>
      <c r="D105" s="9">
        <v>635000</v>
      </c>
      <c r="E105" s="9">
        <v>178000</v>
      </c>
      <c r="F105" s="9">
        <v>216000</v>
      </c>
      <c r="G105" s="9">
        <v>34000</v>
      </c>
      <c r="H105" s="265">
        <v>175000</v>
      </c>
      <c r="I105" s="272">
        <f t="shared" si="6"/>
        <v>0.83131557707828896</v>
      </c>
      <c r="J105" s="272">
        <f t="shared" si="4"/>
        <v>-2.7441485068603711E-2</v>
      </c>
      <c r="K105" s="272">
        <f t="shared" si="5"/>
        <v>-0.14124293785310735</v>
      </c>
    </row>
    <row r="106" spans="1:11" ht="24">
      <c r="A106" s="117" t="s">
        <v>199</v>
      </c>
      <c r="B106" s="106">
        <v>63000</v>
      </c>
      <c r="C106" s="11">
        <v>48000</v>
      </c>
      <c r="D106" s="11">
        <v>29000</v>
      </c>
      <c r="E106" s="11">
        <v>7000</v>
      </c>
      <c r="F106" s="11">
        <v>12000</v>
      </c>
      <c r="G106" s="16" t="s">
        <v>220</v>
      </c>
      <c r="H106" s="266">
        <v>14000</v>
      </c>
      <c r="I106" s="272">
        <f t="shared" si="6"/>
        <v>0.76190476190476186</v>
      </c>
      <c r="J106" s="272" t="e">
        <f t="shared" si="4"/>
        <v>#VALUE!</v>
      </c>
      <c r="K106" s="272">
        <f t="shared" si="5"/>
        <v>-0.22222222222222221</v>
      </c>
    </row>
    <row r="107" spans="1:11">
      <c r="A107" s="117" t="s">
        <v>200</v>
      </c>
      <c r="B107" s="105">
        <v>46000</v>
      </c>
      <c r="C107" s="9">
        <v>38000</v>
      </c>
      <c r="D107" s="9">
        <v>19000</v>
      </c>
      <c r="E107" s="9">
        <v>7000</v>
      </c>
      <c r="F107" s="9">
        <v>11000</v>
      </c>
      <c r="G107" s="13" t="s">
        <v>191</v>
      </c>
      <c r="H107" s="265">
        <v>6000</v>
      </c>
      <c r="I107" s="272">
        <f t="shared" si="6"/>
        <v>0.82608695652173914</v>
      </c>
      <c r="J107" s="272" t="e">
        <f t="shared" si="4"/>
        <v>#VALUE!</v>
      </c>
      <c r="K107" s="272">
        <f t="shared" si="5"/>
        <v>-0.13043478260869565</v>
      </c>
    </row>
    <row r="108" spans="1:11">
      <c r="A108" s="117" t="s">
        <v>201</v>
      </c>
      <c r="B108" s="106">
        <v>144000</v>
      </c>
      <c r="C108" s="11">
        <v>126000</v>
      </c>
      <c r="D108" s="11">
        <v>85000</v>
      </c>
      <c r="E108" s="11">
        <v>21000</v>
      </c>
      <c r="F108" s="11">
        <v>20000</v>
      </c>
      <c r="G108" s="11">
        <v>2000</v>
      </c>
      <c r="H108" s="266">
        <v>16000</v>
      </c>
      <c r="I108" s="272">
        <f t="shared" si="6"/>
        <v>0.875</v>
      </c>
      <c r="J108" s="272">
        <f t="shared" si="4"/>
        <v>-1.3888888888888888E-2</v>
      </c>
      <c r="K108" s="272">
        <f t="shared" si="5"/>
        <v>-0.1111111111111111</v>
      </c>
    </row>
    <row r="109" spans="1:11">
      <c r="A109" s="117" t="s">
        <v>202</v>
      </c>
      <c r="B109" s="106">
        <v>483000</v>
      </c>
      <c r="C109" s="11">
        <v>406000</v>
      </c>
      <c r="D109" s="11">
        <v>262000</v>
      </c>
      <c r="E109" s="11">
        <v>76000</v>
      </c>
      <c r="F109" s="11">
        <v>68000</v>
      </c>
      <c r="G109" s="11">
        <v>11000</v>
      </c>
      <c r="H109" s="266">
        <v>67000</v>
      </c>
      <c r="I109" s="272">
        <f t="shared" si="6"/>
        <v>0.84057971014492749</v>
      </c>
      <c r="J109" s="272">
        <f t="shared" si="4"/>
        <v>-2.2774327122153208E-2</v>
      </c>
      <c r="K109" s="272">
        <f t="shared" si="5"/>
        <v>-0.13871635610766045</v>
      </c>
    </row>
    <row r="110" spans="1:11">
      <c r="A110" s="117" t="s">
        <v>203</v>
      </c>
      <c r="B110" s="105">
        <v>83000</v>
      </c>
      <c r="C110" s="9">
        <v>66000</v>
      </c>
      <c r="D110" s="9">
        <v>31000</v>
      </c>
      <c r="E110" s="9">
        <v>12000</v>
      </c>
      <c r="F110" s="9">
        <v>22000</v>
      </c>
      <c r="G110" s="9">
        <v>2000</v>
      </c>
      <c r="H110" s="265">
        <v>15000</v>
      </c>
      <c r="I110" s="272">
        <f t="shared" si="6"/>
        <v>0.79518072289156627</v>
      </c>
      <c r="J110" s="272">
        <f t="shared" si="4"/>
        <v>-2.4096385542168676E-2</v>
      </c>
      <c r="K110" s="272">
        <f t="shared" si="5"/>
        <v>-0.18072289156626506</v>
      </c>
    </row>
    <row r="111" spans="1:11">
      <c r="A111" s="117" t="s">
        <v>204</v>
      </c>
      <c r="B111" s="105">
        <v>183000</v>
      </c>
      <c r="C111" s="9">
        <v>159000</v>
      </c>
      <c r="D111" s="9">
        <v>107000</v>
      </c>
      <c r="E111" s="9">
        <v>23000</v>
      </c>
      <c r="F111" s="9">
        <v>30000</v>
      </c>
      <c r="G111" s="9">
        <v>7000</v>
      </c>
      <c r="H111" s="265">
        <v>16000</v>
      </c>
      <c r="I111" s="272">
        <f t="shared" si="6"/>
        <v>0.86885245901639341</v>
      </c>
      <c r="J111" s="272">
        <f t="shared" si="4"/>
        <v>-3.825136612021858E-2</v>
      </c>
      <c r="K111" s="272">
        <f t="shared" si="5"/>
        <v>-8.7431693989071038E-2</v>
      </c>
    </row>
    <row r="112" spans="1:11">
      <c r="A112" s="117" t="s">
        <v>205</v>
      </c>
      <c r="B112" s="105">
        <v>238000</v>
      </c>
      <c r="C112" s="9">
        <v>188000</v>
      </c>
      <c r="D112" s="9">
        <v>102000</v>
      </c>
      <c r="E112" s="9">
        <v>32000</v>
      </c>
      <c r="F112" s="9">
        <v>54000</v>
      </c>
      <c r="G112" s="9">
        <v>9000</v>
      </c>
      <c r="H112" s="265">
        <v>41000</v>
      </c>
      <c r="I112" s="272">
        <f t="shared" si="6"/>
        <v>0.78991596638655459</v>
      </c>
      <c r="J112" s="272">
        <f t="shared" si="4"/>
        <v>-3.7815126050420166E-2</v>
      </c>
      <c r="K112" s="272">
        <f t="shared" si="5"/>
        <v>-0.17226890756302521</v>
      </c>
    </row>
    <row r="113" spans="1:11">
      <c r="A113" s="115" t="s">
        <v>206</v>
      </c>
      <c r="B113" s="105">
        <v>2644000</v>
      </c>
      <c r="C113" s="9">
        <v>2080000</v>
      </c>
      <c r="D113" s="9">
        <v>156000</v>
      </c>
      <c r="E113" s="9">
        <v>1327000</v>
      </c>
      <c r="F113" s="9">
        <v>598000</v>
      </c>
      <c r="G113" s="9">
        <v>79000</v>
      </c>
      <c r="H113" s="265">
        <v>484000</v>
      </c>
      <c r="I113" s="272">
        <f t="shared" si="6"/>
        <v>0.78668683812405449</v>
      </c>
      <c r="J113" s="272">
        <f t="shared" si="4"/>
        <v>-2.9878971255673223E-2</v>
      </c>
      <c r="K113" s="272">
        <f t="shared" si="5"/>
        <v>-0.18305597579425115</v>
      </c>
    </row>
    <row r="114" spans="1:11">
      <c r="A114" s="116" t="s">
        <v>207</v>
      </c>
      <c r="B114" s="105">
        <v>1960000</v>
      </c>
      <c r="C114" s="9">
        <v>1561000</v>
      </c>
      <c r="D114" s="9">
        <v>65000</v>
      </c>
      <c r="E114" s="9">
        <v>1102000</v>
      </c>
      <c r="F114" s="9">
        <v>394000</v>
      </c>
      <c r="G114" s="9">
        <v>63000</v>
      </c>
      <c r="H114" s="265">
        <v>335000</v>
      </c>
      <c r="I114" s="272">
        <f t="shared" si="6"/>
        <v>0.79642857142857137</v>
      </c>
      <c r="J114" s="272">
        <f t="shared" si="4"/>
        <v>-3.214285714285714E-2</v>
      </c>
      <c r="K114" s="272">
        <f t="shared" si="5"/>
        <v>-0.17091836734693877</v>
      </c>
    </row>
    <row r="115" spans="1:11">
      <c r="A115" s="116" t="s">
        <v>208</v>
      </c>
      <c r="B115" s="106">
        <v>344000</v>
      </c>
      <c r="C115" s="11">
        <v>244000</v>
      </c>
      <c r="D115" s="11">
        <v>14000</v>
      </c>
      <c r="E115" s="11">
        <v>133000</v>
      </c>
      <c r="F115" s="11">
        <v>97000</v>
      </c>
      <c r="G115" s="16" t="s">
        <v>191</v>
      </c>
      <c r="H115" s="266">
        <v>95000</v>
      </c>
      <c r="I115" s="272">
        <f t="shared" si="6"/>
        <v>0.70930232558139539</v>
      </c>
      <c r="J115" s="272" t="e">
        <f t="shared" si="4"/>
        <v>#VALUE!</v>
      </c>
      <c r="K115" s="272">
        <f t="shared" si="5"/>
        <v>-0.27616279069767441</v>
      </c>
    </row>
    <row r="116" spans="1:11">
      <c r="A116" s="118" t="s">
        <v>209</v>
      </c>
      <c r="B116" s="105">
        <v>114000</v>
      </c>
      <c r="C116" s="9">
        <v>86000</v>
      </c>
      <c r="D116" s="9">
        <v>48000</v>
      </c>
      <c r="E116" s="9">
        <v>13000</v>
      </c>
      <c r="F116" s="9">
        <v>25000</v>
      </c>
      <c r="G116" s="13" t="s">
        <v>191</v>
      </c>
      <c r="H116" s="265">
        <v>24000</v>
      </c>
      <c r="I116" s="272">
        <f t="shared" si="6"/>
        <v>0.75438596491228072</v>
      </c>
      <c r="J116" s="272" t="e">
        <f t="shared" si="4"/>
        <v>#VALUE!</v>
      </c>
      <c r="K116" s="272">
        <f t="shared" si="5"/>
        <v>-0.21052631578947367</v>
      </c>
    </row>
    <row r="117" spans="1:11">
      <c r="A117" s="116" t="s">
        <v>210</v>
      </c>
      <c r="B117" s="105">
        <v>226000</v>
      </c>
      <c r="C117" s="9">
        <v>189000</v>
      </c>
      <c r="D117" s="9">
        <v>28000</v>
      </c>
      <c r="E117" s="9">
        <v>80000</v>
      </c>
      <c r="F117" s="9">
        <v>81000</v>
      </c>
      <c r="G117" s="9">
        <v>6000</v>
      </c>
      <c r="H117" s="265">
        <v>31000</v>
      </c>
      <c r="I117" s="272">
        <f t="shared" si="6"/>
        <v>0.83628318584070793</v>
      </c>
      <c r="J117" s="272">
        <f t="shared" si="4"/>
        <v>-2.6548672566371681E-2</v>
      </c>
      <c r="K117" s="272">
        <f t="shared" si="5"/>
        <v>-0.13716814159292035</v>
      </c>
    </row>
    <row r="118" spans="1:11">
      <c r="A118" s="115" t="s">
        <v>211</v>
      </c>
      <c r="B118" s="105">
        <v>11950000</v>
      </c>
      <c r="C118" s="9">
        <v>8928000</v>
      </c>
      <c r="D118" s="9">
        <v>584000</v>
      </c>
      <c r="E118" s="9">
        <v>699000</v>
      </c>
      <c r="F118" s="9">
        <v>7644000</v>
      </c>
      <c r="G118" s="9">
        <v>414000</v>
      </c>
      <c r="H118" s="265">
        <v>2608000</v>
      </c>
      <c r="I118" s="272">
        <f t="shared" si="6"/>
        <v>0.74711297071129712</v>
      </c>
      <c r="J118" s="272">
        <f t="shared" si="4"/>
        <v>-3.4644351464435147E-2</v>
      </c>
      <c r="K118" s="272">
        <f t="shared" si="5"/>
        <v>-0.21824267782426779</v>
      </c>
    </row>
    <row r="119" spans="1:11">
      <c r="A119" s="116" t="s">
        <v>212</v>
      </c>
      <c r="B119" s="106">
        <v>4118000</v>
      </c>
      <c r="C119" s="11">
        <v>3311000</v>
      </c>
      <c r="D119" s="11">
        <v>349000</v>
      </c>
      <c r="E119" s="11">
        <v>262000</v>
      </c>
      <c r="F119" s="11">
        <v>2700000</v>
      </c>
      <c r="G119" s="11">
        <v>169000</v>
      </c>
      <c r="H119" s="266">
        <v>638000</v>
      </c>
      <c r="I119" s="272">
        <f t="shared" si="6"/>
        <v>0.80403108305002424</v>
      </c>
      <c r="J119" s="272">
        <f t="shared" si="4"/>
        <v>-4.1039339485186982E-2</v>
      </c>
      <c r="K119" s="272">
        <f t="shared" si="5"/>
        <v>-0.15492957746478872</v>
      </c>
    </row>
    <row r="120" spans="1:11" ht="24">
      <c r="A120" s="116" t="s">
        <v>213</v>
      </c>
      <c r="B120" s="106">
        <v>4167000</v>
      </c>
      <c r="C120" s="11">
        <v>2888000</v>
      </c>
      <c r="D120" s="11">
        <v>53000</v>
      </c>
      <c r="E120" s="11">
        <v>285000</v>
      </c>
      <c r="F120" s="11">
        <v>2550000</v>
      </c>
      <c r="G120" s="11">
        <v>88000</v>
      </c>
      <c r="H120" s="266">
        <v>1191000</v>
      </c>
      <c r="I120" s="272">
        <f t="shared" si="6"/>
        <v>0.69306455483561313</v>
      </c>
      <c r="J120" s="272">
        <f t="shared" si="4"/>
        <v>-2.1118310535157187E-2</v>
      </c>
      <c r="K120" s="272">
        <f t="shared" si="5"/>
        <v>-0.28581713462922964</v>
      </c>
    </row>
    <row r="121" spans="1:11">
      <c r="A121" s="118" t="s">
        <v>214</v>
      </c>
      <c r="B121" s="105">
        <v>1084000</v>
      </c>
      <c r="C121" s="9">
        <v>841000</v>
      </c>
      <c r="D121" s="9">
        <v>39000</v>
      </c>
      <c r="E121" s="9">
        <v>45000</v>
      </c>
      <c r="F121" s="9">
        <v>757000</v>
      </c>
      <c r="G121" s="9">
        <v>43000</v>
      </c>
      <c r="H121" s="265">
        <v>200000</v>
      </c>
      <c r="I121" s="272">
        <f t="shared" si="6"/>
        <v>0.77583025830258301</v>
      </c>
      <c r="J121" s="272">
        <f t="shared" si="4"/>
        <v>-3.9667896678966787E-2</v>
      </c>
      <c r="K121" s="272">
        <f t="shared" si="5"/>
        <v>-0.18450184501845018</v>
      </c>
    </row>
    <row r="122" spans="1:11">
      <c r="A122" s="116" t="s">
        <v>215</v>
      </c>
      <c r="B122" s="105">
        <v>307000</v>
      </c>
      <c r="C122" s="9">
        <v>210000</v>
      </c>
      <c r="D122" s="9">
        <v>17000</v>
      </c>
      <c r="E122" s="9">
        <v>11000</v>
      </c>
      <c r="F122" s="9">
        <v>183000</v>
      </c>
      <c r="G122" s="9">
        <v>19000</v>
      </c>
      <c r="H122" s="265">
        <v>78000</v>
      </c>
      <c r="I122" s="272">
        <f t="shared" si="6"/>
        <v>0.68403908794788271</v>
      </c>
      <c r="J122" s="272">
        <f t="shared" si="4"/>
        <v>-6.1889250814332247E-2</v>
      </c>
      <c r="K122" s="272">
        <f t="shared" si="5"/>
        <v>-0.25407166123778502</v>
      </c>
    </row>
    <row r="123" spans="1:11">
      <c r="A123" s="116" t="s">
        <v>216</v>
      </c>
      <c r="B123" s="105">
        <v>1036000</v>
      </c>
      <c r="C123" s="9">
        <v>740000</v>
      </c>
      <c r="D123" s="9">
        <v>38000</v>
      </c>
      <c r="E123" s="9">
        <v>48000</v>
      </c>
      <c r="F123" s="9">
        <v>654000</v>
      </c>
      <c r="G123" s="9">
        <v>43000</v>
      </c>
      <c r="H123" s="265">
        <v>253000</v>
      </c>
      <c r="I123" s="272">
        <f t="shared" si="6"/>
        <v>0.7142857142857143</v>
      </c>
      <c r="J123" s="272">
        <f t="shared" si="4"/>
        <v>-4.1505791505791506E-2</v>
      </c>
      <c r="K123" s="272">
        <f t="shared" si="5"/>
        <v>-0.24420849420849422</v>
      </c>
    </row>
    <row r="124" spans="1:11">
      <c r="A124" s="116" t="s">
        <v>217</v>
      </c>
      <c r="B124" s="107">
        <v>1239000</v>
      </c>
      <c r="C124" s="7">
        <v>938000</v>
      </c>
      <c r="D124" s="7">
        <v>89000</v>
      </c>
      <c r="E124" s="7">
        <v>49000</v>
      </c>
      <c r="F124" s="7">
        <v>800000</v>
      </c>
      <c r="G124" s="7">
        <v>53000</v>
      </c>
      <c r="H124" s="268">
        <v>248000</v>
      </c>
      <c r="I124" s="272">
        <f>C124/B124</f>
        <v>0.75706214689265539</v>
      </c>
      <c r="J124" s="272">
        <f t="shared" si="4"/>
        <v>-4.2776432606941084E-2</v>
      </c>
      <c r="K124" s="272">
        <f t="shared" si="5"/>
        <v>-0.20016142050040356</v>
      </c>
    </row>
    <row r="125" spans="1:11">
      <c r="A125" s="135" t="s">
        <v>221</v>
      </c>
      <c r="B125" s="136">
        <v>2643000</v>
      </c>
      <c r="C125" s="137">
        <v>2141000</v>
      </c>
      <c r="D125" s="137">
        <v>962000</v>
      </c>
      <c r="E125" s="137">
        <v>374000</v>
      </c>
      <c r="F125" s="137">
        <v>805000</v>
      </c>
      <c r="G125" s="137">
        <v>74000</v>
      </c>
      <c r="H125" s="270">
        <v>429000</v>
      </c>
      <c r="I125" s="272">
        <f t="shared" ref="I125:I162" si="7">C125/B125</f>
        <v>0.81006432084752178</v>
      </c>
      <c r="J125" s="272">
        <f t="shared" si="4"/>
        <v>-2.7998486568293606E-2</v>
      </c>
      <c r="K125" s="272">
        <f t="shared" si="5"/>
        <v>-0.1623155505107832</v>
      </c>
    </row>
    <row r="126" spans="1:11">
      <c r="A126" s="138" t="s">
        <v>178</v>
      </c>
      <c r="B126" s="105">
        <v>1582000</v>
      </c>
      <c r="C126" s="9">
        <v>1302000</v>
      </c>
      <c r="D126" s="9">
        <v>861000</v>
      </c>
      <c r="E126" s="9">
        <v>157000</v>
      </c>
      <c r="F126" s="9">
        <v>285000</v>
      </c>
      <c r="G126" s="9">
        <v>38000</v>
      </c>
      <c r="H126" s="265">
        <v>241000</v>
      </c>
      <c r="I126" s="272">
        <f t="shared" si="7"/>
        <v>0.82300884955752207</v>
      </c>
      <c r="J126" s="272">
        <f t="shared" si="4"/>
        <v>-2.402022756005057E-2</v>
      </c>
      <c r="K126" s="272">
        <f t="shared" si="5"/>
        <v>-0.15233881163084703</v>
      </c>
    </row>
    <row r="127" spans="1:11" ht="24">
      <c r="A127" s="139" t="s">
        <v>179</v>
      </c>
      <c r="B127" s="106">
        <v>447000</v>
      </c>
      <c r="C127" s="11">
        <v>380000</v>
      </c>
      <c r="D127" s="11">
        <v>240000</v>
      </c>
      <c r="E127" s="11">
        <v>74000</v>
      </c>
      <c r="F127" s="11">
        <v>66000</v>
      </c>
      <c r="G127" s="11">
        <v>9000</v>
      </c>
      <c r="H127" s="266">
        <v>58000</v>
      </c>
      <c r="I127" s="272">
        <f t="shared" si="7"/>
        <v>0.85011185682326618</v>
      </c>
      <c r="J127" s="272">
        <f t="shared" si="4"/>
        <v>-2.0134228187919462E-2</v>
      </c>
      <c r="K127" s="272">
        <f t="shared" si="5"/>
        <v>-0.12975391498881431</v>
      </c>
    </row>
    <row r="128" spans="1:11">
      <c r="A128" s="140" t="s">
        <v>180</v>
      </c>
      <c r="B128" s="106">
        <v>30000</v>
      </c>
      <c r="C128" s="11">
        <v>23000</v>
      </c>
      <c r="D128" s="11">
        <v>14000</v>
      </c>
      <c r="E128" s="11">
        <v>1000</v>
      </c>
      <c r="F128" s="11">
        <v>8000</v>
      </c>
      <c r="G128" s="16" t="s">
        <v>191</v>
      </c>
      <c r="H128" s="266">
        <v>6000</v>
      </c>
      <c r="I128" s="272">
        <f t="shared" si="7"/>
        <v>0.76666666666666672</v>
      </c>
      <c r="J128" s="272" t="e">
        <f t="shared" si="4"/>
        <v>#VALUE!</v>
      </c>
      <c r="K128" s="272">
        <f t="shared" si="5"/>
        <v>-0.2</v>
      </c>
    </row>
    <row r="129" spans="1:11">
      <c r="A129" s="140" t="s">
        <v>181</v>
      </c>
      <c r="B129" s="105">
        <v>408000</v>
      </c>
      <c r="C129" s="9">
        <v>350000</v>
      </c>
      <c r="D129" s="9">
        <v>221000</v>
      </c>
      <c r="E129" s="9">
        <v>72000</v>
      </c>
      <c r="F129" s="9">
        <v>56000</v>
      </c>
      <c r="G129" s="9">
        <v>7000</v>
      </c>
      <c r="H129" s="265">
        <v>51000</v>
      </c>
      <c r="I129" s="272">
        <f t="shared" si="7"/>
        <v>0.85784313725490191</v>
      </c>
      <c r="J129" s="272">
        <f t="shared" si="4"/>
        <v>-1.7156862745098041E-2</v>
      </c>
      <c r="K129" s="272">
        <f t="shared" si="5"/>
        <v>-0.125</v>
      </c>
    </row>
    <row r="130" spans="1:11">
      <c r="A130" s="140" t="s">
        <v>182</v>
      </c>
      <c r="B130" s="105">
        <v>9000</v>
      </c>
      <c r="C130" s="9">
        <v>7000</v>
      </c>
      <c r="D130" s="9">
        <v>5000</v>
      </c>
      <c r="E130" s="13" t="s">
        <v>222</v>
      </c>
      <c r="F130" s="13" t="s">
        <v>191</v>
      </c>
      <c r="G130" s="13" t="s">
        <v>220</v>
      </c>
      <c r="H130" s="269" t="s">
        <v>220</v>
      </c>
      <c r="I130" s="272">
        <f t="shared" si="7"/>
        <v>0.77777777777777779</v>
      </c>
      <c r="J130" s="272" t="e">
        <f t="shared" si="4"/>
        <v>#VALUE!</v>
      </c>
      <c r="K130" s="272" t="e">
        <f t="shared" si="5"/>
        <v>#VALUE!</v>
      </c>
    </row>
    <row r="131" spans="1:11">
      <c r="A131" s="139" t="s">
        <v>183</v>
      </c>
      <c r="B131" s="106">
        <v>149000</v>
      </c>
      <c r="C131" s="11">
        <v>127000</v>
      </c>
      <c r="D131" s="11">
        <v>98000</v>
      </c>
      <c r="E131" s="11">
        <v>10000</v>
      </c>
      <c r="F131" s="11">
        <v>19000</v>
      </c>
      <c r="G131" s="11">
        <v>4000</v>
      </c>
      <c r="H131" s="266">
        <v>19000</v>
      </c>
      <c r="I131" s="272">
        <f t="shared" si="7"/>
        <v>0.8523489932885906</v>
      </c>
      <c r="J131" s="272">
        <f t="shared" si="4"/>
        <v>-2.6845637583892617E-2</v>
      </c>
      <c r="K131" s="272">
        <f t="shared" si="5"/>
        <v>-0.12751677852348994</v>
      </c>
    </row>
    <row r="132" spans="1:11">
      <c r="A132" s="140" t="s">
        <v>184</v>
      </c>
      <c r="B132" s="106">
        <v>78000</v>
      </c>
      <c r="C132" s="11">
        <v>68000</v>
      </c>
      <c r="D132" s="11">
        <v>51000</v>
      </c>
      <c r="E132" s="11">
        <v>7000</v>
      </c>
      <c r="F132" s="11">
        <v>10000</v>
      </c>
      <c r="G132" s="16" t="s">
        <v>222</v>
      </c>
      <c r="H132" s="266">
        <v>10000</v>
      </c>
      <c r="I132" s="272">
        <f t="shared" si="7"/>
        <v>0.87179487179487181</v>
      </c>
      <c r="J132" s="272" t="e">
        <f t="shared" si="4"/>
        <v>#VALUE!</v>
      </c>
      <c r="K132" s="272">
        <f t="shared" si="5"/>
        <v>-0.12820512820512819</v>
      </c>
    </row>
    <row r="133" spans="1:11">
      <c r="A133" s="140" t="s">
        <v>185</v>
      </c>
      <c r="B133" s="105">
        <v>71000</v>
      </c>
      <c r="C133" s="9">
        <v>59000</v>
      </c>
      <c r="D133" s="9">
        <v>47000</v>
      </c>
      <c r="E133" s="9">
        <v>3000</v>
      </c>
      <c r="F133" s="9">
        <v>9000</v>
      </c>
      <c r="G133" s="9">
        <v>3000</v>
      </c>
      <c r="H133" s="265">
        <v>9000</v>
      </c>
      <c r="I133" s="272">
        <f t="shared" si="7"/>
        <v>0.83098591549295775</v>
      </c>
      <c r="J133" s="272">
        <f t="shared" si="4"/>
        <v>-4.2253521126760563E-2</v>
      </c>
      <c r="K133" s="272">
        <f t="shared" si="5"/>
        <v>-0.12676056338028169</v>
      </c>
    </row>
    <row r="134" spans="1:11">
      <c r="A134" s="139" t="s">
        <v>186</v>
      </c>
      <c r="B134" s="105">
        <v>257000</v>
      </c>
      <c r="C134" s="9">
        <v>215000</v>
      </c>
      <c r="D134" s="9">
        <v>155000</v>
      </c>
      <c r="E134" s="9">
        <v>20000</v>
      </c>
      <c r="F134" s="9">
        <v>40000</v>
      </c>
      <c r="G134" s="9">
        <v>6000</v>
      </c>
      <c r="H134" s="265">
        <v>36000</v>
      </c>
      <c r="I134" s="272">
        <f t="shared" si="7"/>
        <v>0.83657587548638135</v>
      </c>
      <c r="J134" s="272">
        <f t="shared" ref="J134:J164" si="8">(G134/$B134)*-1</f>
        <v>-2.3346303501945526E-2</v>
      </c>
      <c r="K134" s="272">
        <f t="shared" ref="K134:K164" si="9">(H134/$B134)*-1</f>
        <v>-0.14007782101167315</v>
      </c>
    </row>
    <row r="135" spans="1:11">
      <c r="A135" s="140" t="s">
        <v>187</v>
      </c>
      <c r="B135" s="106">
        <v>119000</v>
      </c>
      <c r="C135" s="11">
        <v>97000</v>
      </c>
      <c r="D135" s="11">
        <v>68000</v>
      </c>
      <c r="E135" s="11">
        <v>9000</v>
      </c>
      <c r="F135" s="11">
        <v>21000</v>
      </c>
      <c r="G135" s="11">
        <v>2000</v>
      </c>
      <c r="H135" s="266">
        <v>19000</v>
      </c>
      <c r="I135" s="272">
        <f t="shared" si="7"/>
        <v>0.81512605042016806</v>
      </c>
      <c r="J135" s="272">
        <f t="shared" si="8"/>
        <v>-1.680672268907563E-2</v>
      </c>
      <c r="K135" s="272">
        <f t="shared" si="9"/>
        <v>-0.15966386554621848</v>
      </c>
    </row>
    <row r="136" spans="1:11">
      <c r="A136" s="140" t="s">
        <v>188</v>
      </c>
      <c r="B136" s="106">
        <v>42000</v>
      </c>
      <c r="C136" s="11">
        <v>33000</v>
      </c>
      <c r="D136" s="11">
        <v>27000</v>
      </c>
      <c r="E136" s="16" t="s">
        <v>191</v>
      </c>
      <c r="F136" s="11">
        <v>4000</v>
      </c>
      <c r="G136" s="16" t="s">
        <v>220</v>
      </c>
      <c r="H136" s="271" t="s">
        <v>191</v>
      </c>
      <c r="I136" s="272">
        <f t="shared" si="7"/>
        <v>0.7857142857142857</v>
      </c>
      <c r="J136" s="272" t="e">
        <f t="shared" si="8"/>
        <v>#VALUE!</v>
      </c>
      <c r="K136" s="272" t="e">
        <f t="shared" si="9"/>
        <v>#VALUE!</v>
      </c>
    </row>
    <row r="137" spans="1:11">
      <c r="A137" s="140" t="s">
        <v>189</v>
      </c>
      <c r="B137" s="105">
        <v>93000</v>
      </c>
      <c r="C137" s="9">
        <v>82000</v>
      </c>
      <c r="D137" s="9">
        <v>59000</v>
      </c>
      <c r="E137" s="9">
        <v>9000</v>
      </c>
      <c r="F137" s="9">
        <v>15000</v>
      </c>
      <c r="G137" s="9">
        <v>1000</v>
      </c>
      <c r="H137" s="265">
        <v>10000</v>
      </c>
      <c r="I137" s="272">
        <f t="shared" si="7"/>
        <v>0.88172043010752688</v>
      </c>
      <c r="J137" s="272">
        <f t="shared" si="8"/>
        <v>-1.0752688172043012E-2</v>
      </c>
      <c r="K137" s="272">
        <f t="shared" si="9"/>
        <v>-0.10752688172043011</v>
      </c>
    </row>
    <row r="138" spans="1:11">
      <c r="A138" s="140" t="s">
        <v>190</v>
      </c>
      <c r="B138" s="105">
        <v>3000</v>
      </c>
      <c r="C138" s="9">
        <v>2000</v>
      </c>
      <c r="D138" s="9">
        <v>1000</v>
      </c>
      <c r="E138" s="13" t="s">
        <v>220</v>
      </c>
      <c r="F138" s="13" t="s">
        <v>220</v>
      </c>
      <c r="G138" s="13" t="s">
        <v>220</v>
      </c>
      <c r="H138" s="269" t="s">
        <v>220</v>
      </c>
      <c r="I138" s="272">
        <f t="shared" si="7"/>
        <v>0.66666666666666663</v>
      </c>
      <c r="J138" s="272" t="e">
        <f t="shared" si="8"/>
        <v>#VALUE!</v>
      </c>
      <c r="K138" s="272" t="e">
        <f t="shared" si="9"/>
        <v>#VALUE!</v>
      </c>
    </row>
    <row r="139" spans="1:11">
      <c r="A139" s="139" t="s">
        <v>192</v>
      </c>
      <c r="B139" s="105">
        <v>428000</v>
      </c>
      <c r="C139" s="9">
        <v>325000</v>
      </c>
      <c r="D139" s="9">
        <v>196000</v>
      </c>
      <c r="E139" s="9">
        <v>19000</v>
      </c>
      <c r="F139" s="9">
        <v>110000</v>
      </c>
      <c r="G139" s="9">
        <v>13000</v>
      </c>
      <c r="H139" s="265">
        <v>90000</v>
      </c>
      <c r="I139" s="272">
        <f t="shared" si="7"/>
        <v>0.75934579439252337</v>
      </c>
      <c r="J139" s="272">
        <f t="shared" si="8"/>
        <v>-3.0373831775700934E-2</v>
      </c>
      <c r="K139" s="272">
        <f t="shared" si="9"/>
        <v>-0.2102803738317757</v>
      </c>
    </row>
    <row r="140" spans="1:11">
      <c r="A140" s="140" t="s">
        <v>193</v>
      </c>
      <c r="B140" s="105">
        <v>55000</v>
      </c>
      <c r="C140" s="9">
        <v>42000</v>
      </c>
      <c r="D140" s="9">
        <v>26000</v>
      </c>
      <c r="E140" s="13" t="s">
        <v>191</v>
      </c>
      <c r="F140" s="9">
        <v>15000</v>
      </c>
      <c r="G140" s="9">
        <v>1000</v>
      </c>
      <c r="H140" s="265">
        <v>13000</v>
      </c>
      <c r="I140" s="272">
        <f t="shared" si="7"/>
        <v>0.76363636363636367</v>
      </c>
      <c r="J140" s="272">
        <f t="shared" si="8"/>
        <v>-1.8181818181818181E-2</v>
      </c>
      <c r="K140" s="272">
        <f t="shared" si="9"/>
        <v>-0.23636363636363636</v>
      </c>
    </row>
    <row r="141" spans="1:11">
      <c r="A141" s="141" t="s">
        <v>194</v>
      </c>
      <c r="B141" s="105">
        <v>51000</v>
      </c>
      <c r="C141" s="9">
        <v>32000</v>
      </c>
      <c r="D141" s="9">
        <v>16000</v>
      </c>
      <c r="E141" s="13" t="s">
        <v>191</v>
      </c>
      <c r="F141" s="9">
        <v>14000</v>
      </c>
      <c r="G141" s="13" t="s">
        <v>191</v>
      </c>
      <c r="H141" s="265">
        <v>13000</v>
      </c>
      <c r="I141" s="272">
        <f t="shared" si="7"/>
        <v>0.62745098039215685</v>
      </c>
      <c r="J141" s="272" t="e">
        <f t="shared" si="8"/>
        <v>#VALUE!</v>
      </c>
      <c r="K141" s="272">
        <f t="shared" si="9"/>
        <v>-0.25490196078431371</v>
      </c>
    </row>
    <row r="142" spans="1:11">
      <c r="A142" s="140" t="s">
        <v>195</v>
      </c>
      <c r="B142" s="105">
        <v>214000</v>
      </c>
      <c r="C142" s="9">
        <v>165000</v>
      </c>
      <c r="D142" s="9">
        <v>105000</v>
      </c>
      <c r="E142" s="9">
        <v>15000</v>
      </c>
      <c r="F142" s="9">
        <v>46000</v>
      </c>
      <c r="G142" s="9">
        <v>3000</v>
      </c>
      <c r="H142" s="265">
        <v>46000</v>
      </c>
      <c r="I142" s="272">
        <f t="shared" si="7"/>
        <v>0.7710280373831776</v>
      </c>
      <c r="J142" s="272">
        <f t="shared" si="8"/>
        <v>-1.4018691588785047E-2</v>
      </c>
      <c r="K142" s="272">
        <f t="shared" si="9"/>
        <v>-0.21495327102803738</v>
      </c>
    </row>
    <row r="143" spans="1:11">
      <c r="A143" s="140" t="s">
        <v>196</v>
      </c>
      <c r="B143" s="105">
        <v>61000</v>
      </c>
      <c r="C143" s="9">
        <v>46000</v>
      </c>
      <c r="D143" s="9">
        <v>36000</v>
      </c>
      <c r="E143" s="13" t="s">
        <v>220</v>
      </c>
      <c r="F143" s="9">
        <v>10000</v>
      </c>
      <c r="G143" s="13" t="s">
        <v>191</v>
      </c>
      <c r="H143" s="265">
        <v>12000</v>
      </c>
      <c r="I143" s="272">
        <f t="shared" si="7"/>
        <v>0.75409836065573765</v>
      </c>
      <c r="J143" s="272" t="e">
        <f t="shared" si="8"/>
        <v>#VALUE!</v>
      </c>
      <c r="K143" s="272">
        <f t="shared" si="9"/>
        <v>-0.19672131147540983</v>
      </c>
    </row>
    <row r="144" spans="1:11">
      <c r="A144" s="140" t="s">
        <v>197</v>
      </c>
      <c r="B144" s="105">
        <v>47000</v>
      </c>
      <c r="C144" s="9">
        <v>40000</v>
      </c>
      <c r="D144" s="9">
        <v>14000</v>
      </c>
      <c r="E144" s="13" t="s">
        <v>191</v>
      </c>
      <c r="F144" s="9">
        <v>26000</v>
      </c>
      <c r="G144" s="13" t="s">
        <v>220</v>
      </c>
      <c r="H144" s="265">
        <v>6000</v>
      </c>
      <c r="I144" s="272">
        <f t="shared" si="7"/>
        <v>0.85106382978723405</v>
      </c>
      <c r="J144" s="272" t="e">
        <f t="shared" si="8"/>
        <v>#VALUE!</v>
      </c>
      <c r="K144" s="272">
        <f t="shared" si="9"/>
        <v>-0.1276595744680851</v>
      </c>
    </row>
    <row r="145" spans="1:11">
      <c r="A145" s="139" t="s">
        <v>198</v>
      </c>
      <c r="B145" s="105">
        <v>301000</v>
      </c>
      <c r="C145" s="9">
        <v>256000</v>
      </c>
      <c r="D145" s="9">
        <v>171000</v>
      </c>
      <c r="E145" s="9">
        <v>34000</v>
      </c>
      <c r="F145" s="9">
        <v>50000</v>
      </c>
      <c r="G145" s="9">
        <v>8000</v>
      </c>
      <c r="H145" s="265">
        <v>38000</v>
      </c>
      <c r="I145" s="272">
        <f t="shared" si="7"/>
        <v>0.85049833887043191</v>
      </c>
      <c r="J145" s="272">
        <f t="shared" si="8"/>
        <v>-2.6578073089700997E-2</v>
      </c>
      <c r="K145" s="272">
        <f t="shared" si="9"/>
        <v>-0.12624584717607973</v>
      </c>
    </row>
    <row r="146" spans="1:11" ht="24">
      <c r="A146" s="140" t="s">
        <v>199</v>
      </c>
      <c r="B146" s="106">
        <v>13000</v>
      </c>
      <c r="C146" s="11">
        <v>11000</v>
      </c>
      <c r="D146" s="11">
        <v>7000</v>
      </c>
      <c r="E146" s="16" t="s">
        <v>191</v>
      </c>
      <c r="F146" s="16" t="s">
        <v>191</v>
      </c>
      <c r="G146" s="16" t="s">
        <v>220</v>
      </c>
      <c r="H146" s="271" t="s">
        <v>191</v>
      </c>
      <c r="I146" s="272">
        <f t="shared" si="7"/>
        <v>0.84615384615384615</v>
      </c>
      <c r="J146" s="272" t="e">
        <f t="shared" si="8"/>
        <v>#VALUE!</v>
      </c>
      <c r="K146" s="272" t="e">
        <f t="shared" si="9"/>
        <v>#VALUE!</v>
      </c>
    </row>
    <row r="147" spans="1:11">
      <c r="A147" s="140" t="s">
        <v>200</v>
      </c>
      <c r="B147" s="105">
        <v>38000</v>
      </c>
      <c r="C147" s="9">
        <v>30000</v>
      </c>
      <c r="D147" s="9">
        <v>17000</v>
      </c>
      <c r="E147" s="9">
        <v>5000</v>
      </c>
      <c r="F147" s="9">
        <v>8000</v>
      </c>
      <c r="G147" s="9">
        <v>1000</v>
      </c>
      <c r="H147" s="265">
        <v>7000</v>
      </c>
      <c r="I147" s="272">
        <f t="shared" si="7"/>
        <v>0.78947368421052633</v>
      </c>
      <c r="J147" s="272">
        <f t="shared" si="8"/>
        <v>-2.6315789473684209E-2</v>
      </c>
      <c r="K147" s="272">
        <f t="shared" si="9"/>
        <v>-0.18421052631578946</v>
      </c>
    </row>
    <row r="148" spans="1:11">
      <c r="A148" s="140" t="s">
        <v>201</v>
      </c>
      <c r="B148" s="106">
        <v>23000</v>
      </c>
      <c r="C148" s="11">
        <v>22000</v>
      </c>
      <c r="D148" s="11">
        <v>17000</v>
      </c>
      <c r="E148" s="11">
        <v>1000</v>
      </c>
      <c r="F148" s="11">
        <v>3000</v>
      </c>
      <c r="G148" s="16" t="s">
        <v>220</v>
      </c>
      <c r="H148" s="266">
        <v>1000</v>
      </c>
      <c r="I148" s="272">
        <f t="shared" si="7"/>
        <v>0.95652173913043481</v>
      </c>
      <c r="J148" s="272" t="e">
        <f t="shared" si="8"/>
        <v>#VALUE!</v>
      </c>
      <c r="K148" s="272">
        <f t="shared" si="9"/>
        <v>-4.3478260869565216E-2</v>
      </c>
    </row>
    <row r="149" spans="1:11">
      <c r="A149" s="140" t="s">
        <v>202</v>
      </c>
      <c r="B149" s="106">
        <v>94000</v>
      </c>
      <c r="C149" s="11">
        <v>79000</v>
      </c>
      <c r="D149" s="11">
        <v>54000</v>
      </c>
      <c r="E149" s="11">
        <v>13000</v>
      </c>
      <c r="F149" s="11">
        <v>12000</v>
      </c>
      <c r="G149" s="11">
        <v>2000</v>
      </c>
      <c r="H149" s="266">
        <v>13000</v>
      </c>
      <c r="I149" s="272">
        <f t="shared" si="7"/>
        <v>0.84042553191489366</v>
      </c>
      <c r="J149" s="272">
        <f t="shared" si="8"/>
        <v>-2.1276595744680851E-2</v>
      </c>
      <c r="K149" s="272">
        <f t="shared" si="9"/>
        <v>-0.13829787234042554</v>
      </c>
    </row>
    <row r="150" spans="1:11">
      <c r="A150" s="140" t="s">
        <v>203</v>
      </c>
      <c r="B150" s="105">
        <v>13000</v>
      </c>
      <c r="C150" s="9">
        <v>11000</v>
      </c>
      <c r="D150" s="9">
        <v>5000</v>
      </c>
      <c r="E150" s="13" t="s">
        <v>191</v>
      </c>
      <c r="F150" s="9">
        <v>4000</v>
      </c>
      <c r="G150" s="13" t="s">
        <v>220</v>
      </c>
      <c r="H150" s="265">
        <v>2000</v>
      </c>
      <c r="I150" s="272">
        <f t="shared" si="7"/>
        <v>0.84615384615384615</v>
      </c>
      <c r="J150" s="272" t="e">
        <f t="shared" si="8"/>
        <v>#VALUE!</v>
      </c>
      <c r="K150" s="272">
        <f t="shared" si="9"/>
        <v>-0.15384615384615385</v>
      </c>
    </row>
    <row r="151" spans="1:11">
      <c r="A151" s="140" t="s">
        <v>204</v>
      </c>
      <c r="B151" s="105">
        <v>33000</v>
      </c>
      <c r="C151" s="9">
        <v>29000</v>
      </c>
      <c r="D151" s="9">
        <v>21000</v>
      </c>
      <c r="E151" s="9">
        <v>2000</v>
      </c>
      <c r="F151" s="9">
        <v>6000</v>
      </c>
      <c r="G151" s="13" t="s">
        <v>222</v>
      </c>
      <c r="H151" s="265">
        <v>4000</v>
      </c>
      <c r="I151" s="272">
        <f t="shared" si="7"/>
        <v>0.87878787878787878</v>
      </c>
      <c r="J151" s="272" t="e">
        <f t="shared" si="8"/>
        <v>#VALUE!</v>
      </c>
      <c r="K151" s="272">
        <f t="shared" si="9"/>
        <v>-0.12121212121212122</v>
      </c>
    </row>
    <row r="152" spans="1:11">
      <c r="A152" s="140" t="s">
        <v>205</v>
      </c>
      <c r="B152" s="105">
        <v>87000</v>
      </c>
      <c r="C152" s="9">
        <v>75000</v>
      </c>
      <c r="D152" s="9">
        <v>51000</v>
      </c>
      <c r="E152" s="9">
        <v>9000</v>
      </c>
      <c r="F152" s="9">
        <v>16000</v>
      </c>
      <c r="G152" s="9">
        <v>3000</v>
      </c>
      <c r="H152" s="265">
        <v>9000</v>
      </c>
      <c r="I152" s="272">
        <f t="shared" si="7"/>
        <v>0.86206896551724133</v>
      </c>
      <c r="J152" s="272">
        <f t="shared" si="8"/>
        <v>-3.4482758620689655E-2</v>
      </c>
      <c r="K152" s="272">
        <f t="shared" si="9"/>
        <v>-0.10344827586206896</v>
      </c>
    </row>
    <row r="153" spans="1:11">
      <c r="A153" s="138" t="s">
        <v>206</v>
      </c>
      <c r="B153" s="105">
        <v>355000</v>
      </c>
      <c r="C153" s="9">
        <v>304000</v>
      </c>
      <c r="D153" s="9">
        <v>51000</v>
      </c>
      <c r="E153" s="9">
        <v>192000</v>
      </c>
      <c r="F153" s="9">
        <v>61000</v>
      </c>
      <c r="G153" s="9">
        <v>11000</v>
      </c>
      <c r="H153" s="265">
        <v>39000</v>
      </c>
      <c r="I153" s="272">
        <f t="shared" si="7"/>
        <v>0.85633802816901405</v>
      </c>
      <c r="J153" s="272">
        <f t="shared" si="8"/>
        <v>-3.0985915492957747E-2</v>
      </c>
      <c r="K153" s="272">
        <f t="shared" si="9"/>
        <v>-0.10985915492957747</v>
      </c>
    </row>
    <row r="154" spans="1:11">
      <c r="A154" s="139" t="s">
        <v>207</v>
      </c>
      <c r="B154" s="105">
        <v>312000</v>
      </c>
      <c r="C154" s="9">
        <v>275000</v>
      </c>
      <c r="D154" s="9">
        <v>40000</v>
      </c>
      <c r="E154" s="9">
        <v>189000</v>
      </c>
      <c r="F154" s="9">
        <v>46000</v>
      </c>
      <c r="G154" s="13" t="s">
        <v>191</v>
      </c>
      <c r="H154" s="265">
        <v>29000</v>
      </c>
      <c r="I154" s="272">
        <f t="shared" si="7"/>
        <v>0.88141025641025639</v>
      </c>
      <c r="J154" s="272" t="e">
        <f t="shared" si="8"/>
        <v>#VALUE!</v>
      </c>
      <c r="K154" s="272">
        <f t="shared" si="9"/>
        <v>-9.2948717948717952E-2</v>
      </c>
    </row>
    <row r="155" spans="1:11">
      <c r="A155" s="139" t="s">
        <v>208</v>
      </c>
      <c r="B155" s="106">
        <v>24000</v>
      </c>
      <c r="C155" s="11">
        <v>14000</v>
      </c>
      <c r="D155" s="11">
        <v>5000</v>
      </c>
      <c r="E155" s="11">
        <v>1000</v>
      </c>
      <c r="F155" s="11">
        <v>8000</v>
      </c>
      <c r="G155" s="16" t="s">
        <v>220</v>
      </c>
      <c r="H155" s="266">
        <v>8000</v>
      </c>
      <c r="I155" s="272">
        <f t="shared" si="7"/>
        <v>0.58333333333333337</v>
      </c>
      <c r="J155" s="272" t="e">
        <f t="shared" si="8"/>
        <v>#VALUE!</v>
      </c>
      <c r="K155" s="272">
        <f t="shared" si="9"/>
        <v>-0.33333333333333331</v>
      </c>
    </row>
    <row r="156" spans="1:11">
      <c r="A156" s="141" t="s">
        <v>209</v>
      </c>
      <c r="B156" s="105">
        <v>12000</v>
      </c>
      <c r="C156" s="9">
        <v>9000</v>
      </c>
      <c r="D156" s="9">
        <v>5000</v>
      </c>
      <c r="E156" s="9">
        <v>2000</v>
      </c>
      <c r="F156" s="13" t="s">
        <v>191</v>
      </c>
      <c r="G156" s="13" t="s">
        <v>220</v>
      </c>
      <c r="H156" s="269" t="s">
        <v>191</v>
      </c>
      <c r="I156" s="272">
        <f t="shared" si="7"/>
        <v>0.75</v>
      </c>
      <c r="J156" s="272" t="e">
        <f t="shared" si="8"/>
        <v>#VALUE!</v>
      </c>
      <c r="K156" s="272" t="e">
        <f t="shared" si="9"/>
        <v>#VALUE!</v>
      </c>
    </row>
    <row r="157" spans="1:11">
      <c r="A157" s="139" t="s">
        <v>210</v>
      </c>
      <c r="B157" s="105">
        <v>7000</v>
      </c>
      <c r="C157" s="9">
        <v>7000</v>
      </c>
      <c r="D157" s="9">
        <v>2000</v>
      </c>
      <c r="E157" s="13" t="s">
        <v>220</v>
      </c>
      <c r="F157" s="9">
        <v>4000</v>
      </c>
      <c r="G157" s="13" t="s">
        <v>220</v>
      </c>
      <c r="H157" s="269" t="s">
        <v>220</v>
      </c>
      <c r="I157" s="272">
        <f t="shared" si="7"/>
        <v>1</v>
      </c>
      <c r="J157" s="272" t="e">
        <f t="shared" si="8"/>
        <v>#VALUE!</v>
      </c>
      <c r="K157" s="272" t="e">
        <f t="shared" si="9"/>
        <v>#VALUE!</v>
      </c>
    </row>
    <row r="158" spans="1:11">
      <c r="A158" s="138" t="s">
        <v>211</v>
      </c>
      <c r="B158" s="105">
        <v>707000</v>
      </c>
      <c r="C158" s="9">
        <v>534000</v>
      </c>
      <c r="D158" s="9">
        <v>50000</v>
      </c>
      <c r="E158" s="9">
        <v>25000</v>
      </c>
      <c r="F158" s="9">
        <v>459000</v>
      </c>
      <c r="G158" s="9">
        <v>24000</v>
      </c>
      <c r="H158" s="265">
        <v>148000</v>
      </c>
      <c r="I158" s="272">
        <f t="shared" si="7"/>
        <v>0.75530410183875529</v>
      </c>
      <c r="J158" s="272">
        <f t="shared" si="8"/>
        <v>-3.3946251768033946E-2</v>
      </c>
      <c r="K158" s="272">
        <f t="shared" si="9"/>
        <v>-0.20933521923620935</v>
      </c>
    </row>
    <row r="159" spans="1:11">
      <c r="A159" s="139" t="s">
        <v>212</v>
      </c>
      <c r="B159" s="106">
        <v>71000</v>
      </c>
      <c r="C159" s="11">
        <v>56000</v>
      </c>
      <c r="D159" s="11">
        <v>6000</v>
      </c>
      <c r="E159" s="16" t="s">
        <v>220</v>
      </c>
      <c r="F159" s="11">
        <v>48000</v>
      </c>
      <c r="G159" s="11">
        <v>6000</v>
      </c>
      <c r="H159" s="266">
        <v>10000</v>
      </c>
      <c r="I159" s="272">
        <f t="shared" si="7"/>
        <v>0.78873239436619713</v>
      </c>
      <c r="J159" s="272">
        <f t="shared" si="8"/>
        <v>-8.4507042253521125E-2</v>
      </c>
      <c r="K159" s="272">
        <f t="shared" si="9"/>
        <v>-0.14084507042253522</v>
      </c>
    </row>
    <row r="160" spans="1:11" ht="24">
      <c r="A160" s="139" t="s">
        <v>213</v>
      </c>
      <c r="B160" s="106">
        <v>239000</v>
      </c>
      <c r="C160" s="11">
        <v>171000</v>
      </c>
      <c r="D160" s="11">
        <v>9000</v>
      </c>
      <c r="E160" s="11">
        <v>17000</v>
      </c>
      <c r="F160" s="11">
        <v>145000</v>
      </c>
      <c r="G160" s="16" t="s">
        <v>191</v>
      </c>
      <c r="H160" s="266">
        <v>63000</v>
      </c>
      <c r="I160" s="272">
        <f t="shared" si="7"/>
        <v>0.71548117154811719</v>
      </c>
      <c r="J160" s="272" t="e">
        <f t="shared" si="8"/>
        <v>#VALUE!</v>
      </c>
      <c r="K160" s="272">
        <f t="shared" si="9"/>
        <v>-0.26359832635983266</v>
      </c>
    </row>
    <row r="161" spans="1:12">
      <c r="A161" s="141" t="s">
        <v>214</v>
      </c>
      <c r="B161" s="105">
        <v>122000</v>
      </c>
      <c r="C161" s="9">
        <v>83000</v>
      </c>
      <c r="D161" s="9">
        <v>13000</v>
      </c>
      <c r="E161" s="13" t="s">
        <v>191</v>
      </c>
      <c r="F161" s="9">
        <v>68000</v>
      </c>
      <c r="G161" s="9">
        <v>10000</v>
      </c>
      <c r="H161" s="265">
        <v>29000</v>
      </c>
      <c r="I161" s="272">
        <f t="shared" si="7"/>
        <v>0.68032786885245899</v>
      </c>
      <c r="J161" s="272">
        <f t="shared" si="8"/>
        <v>-8.1967213114754092E-2</v>
      </c>
      <c r="K161" s="272">
        <f t="shared" si="9"/>
        <v>-0.23770491803278687</v>
      </c>
    </row>
    <row r="162" spans="1:12">
      <c r="A162" s="139" t="s">
        <v>215</v>
      </c>
      <c r="B162" s="105">
        <v>6000</v>
      </c>
      <c r="C162" s="9">
        <v>4000</v>
      </c>
      <c r="D162" s="13" t="s">
        <v>220</v>
      </c>
      <c r="E162" s="13" t="s">
        <v>220</v>
      </c>
      <c r="F162" s="9">
        <v>4000</v>
      </c>
      <c r="G162" s="13" t="s">
        <v>220</v>
      </c>
      <c r="H162" s="269" t="s">
        <v>220</v>
      </c>
      <c r="I162" s="272">
        <f t="shared" si="7"/>
        <v>0.66666666666666663</v>
      </c>
      <c r="J162" s="272" t="e">
        <f t="shared" si="8"/>
        <v>#VALUE!</v>
      </c>
      <c r="K162" s="272" t="e">
        <f t="shared" si="9"/>
        <v>#VALUE!</v>
      </c>
    </row>
    <row r="163" spans="1:12">
      <c r="A163" s="139" t="s">
        <v>216</v>
      </c>
      <c r="B163" s="107">
        <v>193000</v>
      </c>
      <c r="C163" s="7">
        <v>160000</v>
      </c>
      <c r="D163" s="7">
        <v>5000</v>
      </c>
      <c r="E163" s="7">
        <v>1000</v>
      </c>
      <c r="F163" s="7">
        <v>155000</v>
      </c>
      <c r="G163" s="19" t="s">
        <v>220</v>
      </c>
      <c r="H163" s="268">
        <v>32000</v>
      </c>
      <c r="I163" s="272">
        <f>C163/B163</f>
        <v>0.82901554404145072</v>
      </c>
      <c r="J163" s="272" t="e">
        <f t="shared" si="8"/>
        <v>#VALUE!</v>
      </c>
      <c r="K163" s="272">
        <f t="shared" si="9"/>
        <v>-0.16580310880829016</v>
      </c>
    </row>
    <row r="164" spans="1:12">
      <c r="A164" s="139" t="s">
        <v>217</v>
      </c>
      <c r="B164" s="105">
        <v>75000</v>
      </c>
      <c r="C164" s="9">
        <v>60000</v>
      </c>
      <c r="D164" s="9">
        <v>18000</v>
      </c>
      <c r="E164" s="13" t="s">
        <v>191</v>
      </c>
      <c r="F164" s="9">
        <v>38000</v>
      </c>
      <c r="G164" s="13" t="s">
        <v>220</v>
      </c>
      <c r="H164" s="265">
        <v>14000</v>
      </c>
      <c r="I164" s="272">
        <f t="shared" ref="I164" si="10">C164/B164</f>
        <v>0.8</v>
      </c>
      <c r="J164" s="272" t="e">
        <f t="shared" si="8"/>
        <v>#VALUE!</v>
      </c>
      <c r="K164" s="272">
        <f t="shared" si="9"/>
        <v>-0.18666666666666668</v>
      </c>
    </row>
    <row r="165" spans="1:12">
      <c r="A165" s="111" t="s">
        <v>223</v>
      </c>
      <c r="B165" s="109">
        <v>3784000</v>
      </c>
      <c r="C165" s="104">
        <v>3246000</v>
      </c>
      <c r="D165" s="104">
        <v>82000</v>
      </c>
      <c r="E165" s="104">
        <v>1538000</v>
      </c>
      <c r="F165" s="104">
        <v>1626000</v>
      </c>
      <c r="G165" s="104">
        <v>63000</v>
      </c>
      <c r="H165" s="104">
        <v>474000</v>
      </c>
      <c r="I165" s="204"/>
      <c r="J165" s="204"/>
      <c r="K165" s="204"/>
      <c r="L165" s="290" t="s">
        <v>78</v>
      </c>
    </row>
    <row r="166" spans="1:12">
      <c r="A166" s="112" t="s">
        <v>178</v>
      </c>
      <c r="B166" s="105">
        <v>58000</v>
      </c>
      <c r="C166" s="9">
        <v>49000</v>
      </c>
      <c r="D166" s="9">
        <v>28000</v>
      </c>
      <c r="E166" s="13" t="s">
        <v>191</v>
      </c>
      <c r="F166" s="9">
        <v>16000</v>
      </c>
      <c r="G166" s="13" t="s">
        <v>220</v>
      </c>
      <c r="H166" s="9">
        <v>9000</v>
      </c>
      <c r="I166" s="204"/>
      <c r="J166" s="204"/>
      <c r="K166" s="204"/>
    </row>
    <row r="167" spans="1:12">
      <c r="A167" s="112" t="s">
        <v>206</v>
      </c>
      <c r="B167" s="105">
        <v>1825000</v>
      </c>
      <c r="C167" s="9">
        <v>1616000</v>
      </c>
      <c r="D167" s="9">
        <v>29000</v>
      </c>
      <c r="E167" s="9">
        <v>1506000</v>
      </c>
      <c r="F167" s="9">
        <v>82000</v>
      </c>
      <c r="G167" s="9">
        <v>26000</v>
      </c>
      <c r="H167" s="9">
        <v>183000</v>
      </c>
      <c r="I167" s="204"/>
      <c r="J167" s="204"/>
      <c r="K167" s="204"/>
    </row>
    <row r="168" spans="1:12">
      <c r="A168" s="112" t="s">
        <v>211</v>
      </c>
      <c r="B168" s="110">
        <v>1900000</v>
      </c>
      <c r="C168" s="21">
        <v>1582000</v>
      </c>
      <c r="D168" s="21">
        <v>25000</v>
      </c>
      <c r="E168" s="21">
        <v>28000</v>
      </c>
      <c r="F168" s="21">
        <v>1528000</v>
      </c>
      <c r="G168" s="21">
        <v>37000</v>
      </c>
      <c r="H168" s="21">
        <v>282000</v>
      </c>
      <c r="I168" s="204"/>
      <c r="J168" s="204"/>
      <c r="K168" s="204"/>
    </row>
    <row r="169" spans="1:12">
      <c r="A169" s="313" t="s">
        <v>224</v>
      </c>
      <c r="B169" s="313"/>
      <c r="C169" s="313"/>
      <c r="D169" s="313"/>
      <c r="E169" s="313"/>
      <c r="F169" s="313"/>
      <c r="G169" s="313"/>
      <c r="H169" s="313"/>
      <c r="I169" s="313"/>
    </row>
    <row r="170" spans="1:12">
      <c r="A170" s="314" t="s">
        <v>225</v>
      </c>
      <c r="B170" s="314"/>
      <c r="C170" s="314"/>
      <c r="D170" s="314"/>
      <c r="E170" s="314"/>
      <c r="F170" s="314"/>
      <c r="G170" s="314"/>
      <c r="H170" s="314"/>
      <c r="I170" s="314"/>
    </row>
  </sheetData>
  <mergeCells count="12">
    <mergeCell ref="N3:N4"/>
    <mergeCell ref="A169:I169"/>
    <mergeCell ref="A170:I170"/>
    <mergeCell ref="J3:J4"/>
    <mergeCell ref="K3:K4"/>
    <mergeCell ref="A1:I1"/>
    <mergeCell ref="A3:A4"/>
    <mergeCell ref="B3:B4"/>
    <mergeCell ref="C3:F3"/>
    <mergeCell ref="G3:G4"/>
    <mergeCell ref="H3:H4"/>
    <mergeCell ref="I3:I4"/>
  </mergeCells>
  <conditionalFormatting sqref="I3:I164">
    <cfRule type="colorScale" priority="3">
      <colorScale>
        <cfvo type="min"/>
        <cfvo type="percentile" val="50"/>
        <cfvo type="max"/>
        <color rgb="FFF8696B"/>
        <color rgb="FFFFEB84"/>
        <color rgb="FF63BE7B"/>
      </colorScale>
    </cfRule>
  </conditionalFormatting>
  <conditionalFormatting sqref="J3:J164">
    <cfRule type="colorScale" priority="2">
      <colorScale>
        <cfvo type="min"/>
        <cfvo type="percentile" val="50"/>
        <cfvo type="max"/>
        <color rgb="FFF8696B"/>
        <color rgb="FFFFEB84"/>
        <color rgb="FF63BE7B"/>
      </colorScale>
    </cfRule>
  </conditionalFormatting>
  <conditionalFormatting sqref="K5:K16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theme="0"/>
  </sheetPr>
  <dimension ref="A1:I87"/>
  <sheetViews>
    <sheetView workbookViewId="0">
      <selection activeCell="K14" sqref="K14"/>
    </sheetView>
  </sheetViews>
  <sheetFormatPr defaultRowHeight="13.2"/>
  <cols>
    <col min="1" max="1" width="47.44140625" customWidth="1"/>
    <col min="2" max="5" width="11.109375" customWidth="1"/>
    <col min="6" max="6" width="10.77734375" customWidth="1"/>
    <col min="7" max="8" width="11.109375" customWidth="1"/>
    <col min="9" max="9" width="2.77734375" customWidth="1"/>
  </cols>
  <sheetData>
    <row r="1" spans="1:9" ht="42.75" customHeight="1">
      <c r="A1" s="420" t="s">
        <v>667</v>
      </c>
      <c r="B1" s="420"/>
      <c r="C1" s="420"/>
      <c r="D1" s="420"/>
      <c r="E1" s="420"/>
      <c r="F1" s="420"/>
      <c r="G1" s="420"/>
      <c r="H1" s="420"/>
      <c r="I1" s="420"/>
    </row>
    <row r="2" spans="1:9" ht="14.7" customHeight="1">
      <c r="A2" s="101" t="s">
        <v>583</v>
      </c>
      <c r="B2" s="87">
        <v>2003</v>
      </c>
      <c r="C2" s="87">
        <v>2010</v>
      </c>
      <c r="D2" s="87">
        <v>2013</v>
      </c>
      <c r="E2" s="87">
        <v>2015</v>
      </c>
      <c r="F2" s="87">
        <v>2017</v>
      </c>
      <c r="G2" s="87">
        <v>2019</v>
      </c>
      <c r="H2" s="87">
        <v>2021</v>
      </c>
    </row>
    <row r="3" spans="1:9" ht="12.45" customHeight="1">
      <c r="A3" s="121" t="s">
        <v>174</v>
      </c>
      <c r="B3" s="107">
        <v>2121000</v>
      </c>
      <c r="C3" s="7">
        <v>2372000</v>
      </c>
      <c r="D3" s="7">
        <v>2667000</v>
      </c>
      <c r="E3" s="7">
        <v>2773000</v>
      </c>
      <c r="F3" s="7">
        <v>3018000</v>
      </c>
      <c r="G3" s="7">
        <v>3298000</v>
      </c>
      <c r="H3" s="7">
        <v>3551000</v>
      </c>
    </row>
    <row r="4" spans="1:9" ht="12.45" customHeight="1">
      <c r="A4" s="123" t="s">
        <v>227</v>
      </c>
      <c r="B4" s="105">
        <v>130000</v>
      </c>
      <c r="C4" s="9">
        <v>198000</v>
      </c>
      <c r="D4" s="9">
        <v>229000</v>
      </c>
      <c r="E4" s="9">
        <v>204000</v>
      </c>
      <c r="F4" s="9">
        <v>192000</v>
      </c>
      <c r="G4" s="9">
        <v>230000</v>
      </c>
      <c r="H4" s="9">
        <v>249000</v>
      </c>
    </row>
    <row r="5" spans="1:9" ht="12.45" customHeight="1">
      <c r="A5" s="122" t="s">
        <v>228</v>
      </c>
      <c r="B5" s="105">
        <v>1017000</v>
      </c>
      <c r="C5" s="9">
        <v>1201000</v>
      </c>
      <c r="D5" s="9">
        <v>1388000</v>
      </c>
      <c r="E5" s="9">
        <v>1502000</v>
      </c>
      <c r="F5" s="9">
        <v>1680000</v>
      </c>
      <c r="G5" s="9">
        <v>1812000</v>
      </c>
      <c r="H5" s="9">
        <v>1962000</v>
      </c>
    </row>
    <row r="6" spans="1:9" ht="12.45" customHeight="1">
      <c r="A6" s="122" t="s">
        <v>229</v>
      </c>
      <c r="B6" s="105">
        <v>102000</v>
      </c>
      <c r="C6" s="9">
        <v>110000</v>
      </c>
      <c r="D6" s="9">
        <v>108000</v>
      </c>
      <c r="E6" s="9">
        <v>104000</v>
      </c>
      <c r="F6" s="9">
        <v>119000</v>
      </c>
      <c r="G6" s="9">
        <v>168000</v>
      </c>
      <c r="H6" s="9">
        <v>158000</v>
      </c>
    </row>
    <row r="7" spans="1:9" ht="12.45" customHeight="1">
      <c r="A7" s="122" t="s">
        <v>230</v>
      </c>
      <c r="B7" s="105">
        <v>92000</v>
      </c>
      <c r="C7" s="9">
        <v>78000</v>
      </c>
      <c r="D7" s="9">
        <v>109000</v>
      </c>
      <c r="E7" s="9">
        <v>77000</v>
      </c>
      <c r="F7" s="9">
        <v>150000</v>
      </c>
      <c r="G7" s="9">
        <v>128000</v>
      </c>
      <c r="H7" s="9">
        <v>148000</v>
      </c>
    </row>
    <row r="8" spans="1:9" ht="12.45" customHeight="1">
      <c r="A8" s="122" t="s">
        <v>231</v>
      </c>
      <c r="B8" s="105">
        <v>781000</v>
      </c>
      <c r="C8" s="9">
        <v>785000</v>
      </c>
      <c r="D8" s="9">
        <v>833000</v>
      </c>
      <c r="E8" s="9">
        <v>886000</v>
      </c>
      <c r="F8" s="9">
        <v>876000</v>
      </c>
      <c r="G8" s="9">
        <v>959000</v>
      </c>
      <c r="H8" s="9">
        <v>1035000</v>
      </c>
    </row>
    <row r="9" spans="1:9" ht="12.45" customHeight="1">
      <c r="A9" s="121" t="s">
        <v>175</v>
      </c>
      <c r="B9" s="105">
        <v>2358000</v>
      </c>
      <c r="C9" s="9">
        <v>3113000</v>
      </c>
      <c r="D9" s="9">
        <v>3301000</v>
      </c>
      <c r="E9" s="9">
        <v>3566000</v>
      </c>
      <c r="F9" s="9">
        <v>3570000</v>
      </c>
      <c r="G9" s="9">
        <v>3899000</v>
      </c>
      <c r="H9" s="9">
        <v>4050000</v>
      </c>
    </row>
    <row r="10" spans="1:9" ht="12.45" customHeight="1">
      <c r="A10" s="121" t="s">
        <v>176</v>
      </c>
      <c r="B10" s="105">
        <v>13469000</v>
      </c>
      <c r="C10" s="9">
        <v>16575000</v>
      </c>
      <c r="D10" s="9">
        <v>18028000</v>
      </c>
      <c r="E10" s="9">
        <v>18098000</v>
      </c>
      <c r="F10" s="9">
        <v>19079000</v>
      </c>
      <c r="G10" s="9">
        <v>19504000</v>
      </c>
      <c r="H10" s="9">
        <v>19051000</v>
      </c>
    </row>
    <row r="11" spans="1:9" ht="12.45" customHeight="1">
      <c r="A11" s="115" t="s">
        <v>219</v>
      </c>
      <c r="B11" s="144">
        <v>7440000</v>
      </c>
      <c r="C11" s="143">
        <v>9292000</v>
      </c>
      <c r="D11" s="143">
        <v>9764000</v>
      </c>
      <c r="E11" s="143">
        <v>10597000</v>
      </c>
      <c r="F11" s="143">
        <v>10701000</v>
      </c>
      <c r="G11" s="143">
        <v>11452000</v>
      </c>
      <c r="H11" s="143">
        <v>11708000</v>
      </c>
    </row>
    <row r="12" spans="1:9" ht="12.45" customHeight="1">
      <c r="A12" s="116" t="s">
        <v>174</v>
      </c>
      <c r="B12" s="105">
        <v>1006000</v>
      </c>
      <c r="C12" s="9">
        <v>1082000</v>
      </c>
      <c r="D12" s="9">
        <v>1110000</v>
      </c>
      <c r="E12" s="9">
        <v>1233000</v>
      </c>
      <c r="F12" s="9">
        <v>1258000</v>
      </c>
      <c r="G12" s="9">
        <v>1413000</v>
      </c>
      <c r="H12" s="9">
        <v>1485000</v>
      </c>
    </row>
    <row r="13" spans="1:9" ht="12.45" customHeight="1">
      <c r="A13" s="118" t="s">
        <v>227</v>
      </c>
      <c r="B13" s="105">
        <v>78000</v>
      </c>
      <c r="C13" s="9">
        <v>109000</v>
      </c>
      <c r="D13" s="9">
        <v>116000</v>
      </c>
      <c r="E13" s="9">
        <v>123000</v>
      </c>
      <c r="F13" s="9">
        <v>102000</v>
      </c>
      <c r="G13" s="9">
        <v>107000</v>
      </c>
      <c r="H13" s="9">
        <v>136000</v>
      </c>
    </row>
    <row r="14" spans="1:9" ht="12.45" customHeight="1">
      <c r="A14" s="117" t="s">
        <v>228</v>
      </c>
      <c r="B14" s="105">
        <v>364000</v>
      </c>
      <c r="C14" s="9">
        <v>406000</v>
      </c>
      <c r="D14" s="9">
        <v>402000</v>
      </c>
      <c r="E14" s="9">
        <v>515000</v>
      </c>
      <c r="F14" s="9">
        <v>533000</v>
      </c>
      <c r="G14" s="9">
        <v>616000</v>
      </c>
      <c r="H14" s="9">
        <v>653000</v>
      </c>
    </row>
    <row r="15" spans="1:9" ht="12.45" customHeight="1">
      <c r="A15" s="117" t="s">
        <v>229</v>
      </c>
      <c r="B15" s="105">
        <v>66000</v>
      </c>
      <c r="C15" s="9">
        <v>67000</v>
      </c>
      <c r="D15" s="9">
        <v>62000</v>
      </c>
      <c r="E15" s="9">
        <v>61000</v>
      </c>
      <c r="F15" s="9">
        <v>75000</v>
      </c>
      <c r="G15" s="9">
        <v>77000</v>
      </c>
      <c r="H15" s="9">
        <v>77000</v>
      </c>
    </row>
    <row r="16" spans="1:9" ht="12.45" customHeight="1">
      <c r="A16" s="117" t="s">
        <v>230</v>
      </c>
      <c r="B16" s="105">
        <v>181000</v>
      </c>
      <c r="C16" s="9">
        <v>190000</v>
      </c>
      <c r="D16" s="9">
        <v>215000</v>
      </c>
      <c r="E16" s="9">
        <v>191000</v>
      </c>
      <c r="F16" s="9">
        <v>203000</v>
      </c>
      <c r="G16" s="9">
        <v>209000</v>
      </c>
      <c r="H16" s="9">
        <v>230000</v>
      </c>
    </row>
    <row r="17" spans="1:8" ht="12.45" customHeight="1">
      <c r="A17" s="117" t="s">
        <v>231</v>
      </c>
      <c r="B17" s="105">
        <v>317000</v>
      </c>
      <c r="C17" s="9">
        <v>310000</v>
      </c>
      <c r="D17" s="9">
        <v>315000</v>
      </c>
      <c r="E17" s="9">
        <v>343000</v>
      </c>
      <c r="F17" s="9">
        <v>345000</v>
      </c>
      <c r="G17" s="9">
        <v>405000</v>
      </c>
      <c r="H17" s="9">
        <v>390000</v>
      </c>
    </row>
    <row r="18" spans="1:8" ht="12.45" customHeight="1">
      <c r="A18" s="116" t="s">
        <v>175</v>
      </c>
      <c r="B18" s="105">
        <v>1052000</v>
      </c>
      <c r="C18" s="9">
        <v>1492000</v>
      </c>
      <c r="D18" s="9">
        <v>1605000</v>
      </c>
      <c r="E18" s="9">
        <v>1728000</v>
      </c>
      <c r="F18" s="9">
        <v>1820000</v>
      </c>
      <c r="G18" s="9">
        <v>1880000</v>
      </c>
      <c r="H18" s="9">
        <v>2081000</v>
      </c>
    </row>
    <row r="19" spans="1:8" ht="12.45" customHeight="1">
      <c r="A19" s="116" t="s">
        <v>176</v>
      </c>
      <c r="B19" s="105">
        <v>5382000</v>
      </c>
      <c r="C19" s="9">
        <v>6718000</v>
      </c>
      <c r="D19" s="9">
        <v>7049000</v>
      </c>
      <c r="E19" s="9">
        <v>7635000</v>
      </c>
      <c r="F19" s="9">
        <v>7623000</v>
      </c>
      <c r="G19" s="9">
        <v>8160000</v>
      </c>
      <c r="H19" s="9">
        <v>8142000</v>
      </c>
    </row>
    <row r="20" spans="1:8" ht="12.45" customHeight="1">
      <c r="A20" s="138" t="s">
        <v>221</v>
      </c>
      <c r="B20" s="136">
        <v>920000</v>
      </c>
      <c r="C20" s="137">
        <v>1001000</v>
      </c>
      <c r="D20" s="137">
        <v>1053000</v>
      </c>
      <c r="E20" s="137">
        <v>1105000</v>
      </c>
      <c r="F20" s="137">
        <v>1197000</v>
      </c>
      <c r="G20" s="137">
        <v>1337000</v>
      </c>
      <c r="H20" s="137">
        <v>1371000</v>
      </c>
    </row>
    <row r="21" spans="1:8" ht="12.45" customHeight="1">
      <c r="A21" s="139" t="s">
        <v>174</v>
      </c>
      <c r="B21" s="105">
        <v>392000</v>
      </c>
      <c r="C21" s="9">
        <v>412000</v>
      </c>
      <c r="D21" s="9">
        <v>424000</v>
      </c>
      <c r="E21" s="9">
        <v>433000</v>
      </c>
      <c r="F21" s="9">
        <v>447000</v>
      </c>
      <c r="G21" s="9">
        <v>518000</v>
      </c>
      <c r="H21" s="9">
        <v>535000</v>
      </c>
    </row>
    <row r="22" spans="1:8" ht="12.45" customHeight="1">
      <c r="A22" s="141" t="s">
        <v>227</v>
      </c>
      <c r="B22" s="105">
        <v>99000</v>
      </c>
      <c r="C22" s="9">
        <v>109000</v>
      </c>
      <c r="D22" s="9">
        <v>105000</v>
      </c>
      <c r="E22" s="9">
        <v>110000</v>
      </c>
      <c r="F22" s="9">
        <v>112000</v>
      </c>
      <c r="G22" s="9">
        <v>127000</v>
      </c>
      <c r="H22" s="9">
        <v>152000</v>
      </c>
    </row>
    <row r="23" spans="1:8" ht="12.45" customHeight="1">
      <c r="A23" s="140" t="s">
        <v>228</v>
      </c>
      <c r="B23" s="105">
        <v>50000</v>
      </c>
      <c r="C23" s="9">
        <v>53000</v>
      </c>
      <c r="D23" s="9">
        <v>53000</v>
      </c>
      <c r="E23" s="9">
        <v>49000</v>
      </c>
      <c r="F23" s="9">
        <v>62000</v>
      </c>
      <c r="G23" s="9">
        <v>75000</v>
      </c>
      <c r="H23" s="9">
        <v>75000</v>
      </c>
    </row>
    <row r="24" spans="1:8" ht="12.45" customHeight="1">
      <c r="A24" s="140" t="s">
        <v>229</v>
      </c>
      <c r="B24" s="105">
        <v>63000</v>
      </c>
      <c r="C24" s="9">
        <v>68000</v>
      </c>
      <c r="D24" s="9">
        <v>68000</v>
      </c>
      <c r="E24" s="9">
        <v>64000</v>
      </c>
      <c r="F24" s="9">
        <v>61000</v>
      </c>
      <c r="G24" s="9">
        <v>70000</v>
      </c>
      <c r="H24" s="9">
        <v>72000</v>
      </c>
    </row>
    <row r="25" spans="1:8" ht="12.45" customHeight="1">
      <c r="A25" s="140" t="s">
        <v>230</v>
      </c>
      <c r="B25" s="105">
        <v>129000</v>
      </c>
      <c r="C25" s="9">
        <v>142000</v>
      </c>
      <c r="D25" s="9">
        <v>152000</v>
      </c>
      <c r="E25" s="9">
        <v>162000</v>
      </c>
      <c r="F25" s="9">
        <v>160000</v>
      </c>
      <c r="G25" s="9">
        <v>186000</v>
      </c>
      <c r="H25" s="9">
        <v>176000</v>
      </c>
    </row>
    <row r="26" spans="1:8" ht="12.45" customHeight="1">
      <c r="A26" s="140" t="s">
        <v>231</v>
      </c>
      <c r="B26" s="105">
        <v>51000</v>
      </c>
      <c r="C26" s="9">
        <v>40000</v>
      </c>
      <c r="D26" s="9">
        <v>47000</v>
      </c>
      <c r="E26" s="9">
        <v>49000</v>
      </c>
      <c r="F26" s="9">
        <v>51000</v>
      </c>
      <c r="G26" s="9">
        <v>60000</v>
      </c>
      <c r="H26" s="9">
        <v>60000</v>
      </c>
    </row>
    <row r="27" spans="1:8" ht="12.45" customHeight="1">
      <c r="A27" s="139" t="s">
        <v>175</v>
      </c>
      <c r="B27" s="105">
        <v>89000</v>
      </c>
      <c r="C27" s="9">
        <v>138000</v>
      </c>
      <c r="D27" s="9">
        <v>157000</v>
      </c>
      <c r="E27" s="9">
        <v>141000</v>
      </c>
      <c r="F27" s="9">
        <v>164000</v>
      </c>
      <c r="G27" s="9">
        <v>231000</v>
      </c>
      <c r="H27" s="9">
        <v>247000</v>
      </c>
    </row>
    <row r="28" spans="1:8" ht="12.45" customHeight="1">
      <c r="A28" s="139" t="s">
        <v>176</v>
      </c>
      <c r="B28" s="105">
        <v>439000</v>
      </c>
      <c r="C28" s="9">
        <v>451000</v>
      </c>
      <c r="D28" s="9">
        <v>472000</v>
      </c>
      <c r="E28" s="9">
        <v>531000</v>
      </c>
      <c r="F28" s="9">
        <v>586000</v>
      </c>
      <c r="G28" s="9">
        <v>588000</v>
      </c>
      <c r="H28" s="9">
        <v>588000</v>
      </c>
    </row>
    <row r="29" spans="1:8" ht="12.45" customHeight="1">
      <c r="A29" s="112" t="s">
        <v>223</v>
      </c>
      <c r="B29" s="109">
        <v>1920000</v>
      </c>
      <c r="C29" s="104">
        <v>2280000</v>
      </c>
      <c r="D29" s="104">
        <v>2323000</v>
      </c>
      <c r="E29" s="104">
        <v>2431000</v>
      </c>
      <c r="F29" s="104">
        <v>2532000</v>
      </c>
      <c r="G29" s="104">
        <v>2432000</v>
      </c>
      <c r="H29" s="104">
        <v>2722000</v>
      </c>
    </row>
    <row r="30" spans="1:8" ht="12.45" customHeight="1">
      <c r="A30" s="163" t="s">
        <v>174</v>
      </c>
      <c r="B30" s="105">
        <v>37000</v>
      </c>
      <c r="C30" s="9">
        <v>41000</v>
      </c>
      <c r="D30" s="9">
        <v>37000</v>
      </c>
      <c r="E30" s="9">
        <v>45000</v>
      </c>
      <c r="F30" s="9">
        <v>48000</v>
      </c>
      <c r="G30" s="9">
        <v>46000</v>
      </c>
      <c r="H30" s="9">
        <v>61000</v>
      </c>
    </row>
    <row r="31" spans="1:8" ht="12.45" customHeight="1">
      <c r="A31" s="201" t="s">
        <v>227</v>
      </c>
      <c r="B31" s="105">
        <v>10000</v>
      </c>
      <c r="C31" s="9">
        <v>7000</v>
      </c>
      <c r="D31" s="9">
        <v>4000</v>
      </c>
      <c r="E31" s="9">
        <v>6000</v>
      </c>
      <c r="F31" s="9">
        <v>6000</v>
      </c>
      <c r="G31" s="9">
        <v>6000</v>
      </c>
      <c r="H31" s="9">
        <v>11000</v>
      </c>
    </row>
    <row r="32" spans="1:8" ht="12.45" customHeight="1">
      <c r="A32" s="202" t="s">
        <v>228</v>
      </c>
      <c r="B32" s="105">
        <v>10000</v>
      </c>
      <c r="C32" s="9">
        <v>5000</v>
      </c>
      <c r="D32" s="9">
        <v>7000</v>
      </c>
      <c r="E32" s="9">
        <v>12000</v>
      </c>
      <c r="F32" s="9">
        <v>8000</v>
      </c>
      <c r="G32" s="9">
        <v>9000</v>
      </c>
      <c r="H32" s="9">
        <v>17000</v>
      </c>
    </row>
    <row r="33" spans="1:9" ht="12.45" customHeight="1">
      <c r="A33" s="202" t="s">
        <v>229</v>
      </c>
      <c r="B33" s="162" t="s">
        <v>191</v>
      </c>
      <c r="C33" s="13" t="s">
        <v>220</v>
      </c>
      <c r="D33" s="13" t="s">
        <v>220</v>
      </c>
      <c r="E33" s="13" t="s">
        <v>222</v>
      </c>
      <c r="F33" s="9">
        <v>2000</v>
      </c>
      <c r="G33" s="9">
        <v>2000</v>
      </c>
      <c r="H33" s="9">
        <v>1000</v>
      </c>
    </row>
    <row r="34" spans="1:9" ht="12.45" customHeight="1">
      <c r="A34" s="202" t="s">
        <v>230</v>
      </c>
      <c r="B34" s="105">
        <v>14000</v>
      </c>
      <c r="C34" s="9">
        <v>28000</v>
      </c>
      <c r="D34" s="9">
        <v>23000</v>
      </c>
      <c r="E34" s="9">
        <v>23000</v>
      </c>
      <c r="F34" s="9">
        <v>30000</v>
      </c>
      <c r="G34" s="9">
        <v>28000</v>
      </c>
      <c r="H34" s="9">
        <v>30000</v>
      </c>
    </row>
    <row r="35" spans="1:9" ht="12.45" customHeight="1">
      <c r="A35" s="202" t="s">
        <v>231</v>
      </c>
      <c r="B35" s="105">
        <v>2000</v>
      </c>
      <c r="C35" s="13" t="s">
        <v>220</v>
      </c>
      <c r="D35" s="9">
        <v>2000</v>
      </c>
      <c r="E35" s="9">
        <v>4000</v>
      </c>
      <c r="F35" s="13" t="s">
        <v>191</v>
      </c>
      <c r="G35" s="9">
        <v>3000</v>
      </c>
      <c r="H35" s="13" t="s">
        <v>191</v>
      </c>
    </row>
    <row r="36" spans="1:9" ht="12.45" customHeight="1">
      <c r="A36" s="163" t="s">
        <v>175</v>
      </c>
      <c r="B36" s="105">
        <v>815000</v>
      </c>
      <c r="C36" s="9">
        <v>922000</v>
      </c>
      <c r="D36" s="9">
        <v>978000</v>
      </c>
      <c r="E36" s="9">
        <v>1076000</v>
      </c>
      <c r="F36" s="9">
        <v>1088000</v>
      </c>
      <c r="G36" s="9">
        <v>1082000</v>
      </c>
      <c r="H36" s="9">
        <v>1214000</v>
      </c>
    </row>
    <row r="37" spans="1:9" ht="12.45" customHeight="1">
      <c r="A37" s="163" t="s">
        <v>176</v>
      </c>
      <c r="B37" s="110">
        <v>1068000</v>
      </c>
      <c r="C37" s="21">
        <v>1317000</v>
      </c>
      <c r="D37" s="21">
        <v>1309000</v>
      </c>
      <c r="E37" s="21">
        <v>1310000</v>
      </c>
      <c r="F37" s="21">
        <v>1396000</v>
      </c>
      <c r="G37" s="21">
        <v>1304000</v>
      </c>
      <c r="H37" s="21">
        <v>1447000</v>
      </c>
    </row>
    <row r="38" spans="1:9" ht="21.45" customHeight="1">
      <c r="A38" s="421" t="s">
        <v>224</v>
      </c>
      <c r="B38" s="421"/>
      <c r="C38" s="421"/>
      <c r="D38" s="421"/>
      <c r="E38" s="421"/>
      <c r="F38" s="421"/>
      <c r="G38" s="421"/>
      <c r="H38" s="421"/>
      <c r="I38" s="421"/>
    </row>
    <row r="39" spans="1:9" ht="70.2" customHeight="1">
      <c r="A39" s="420" t="s">
        <v>654</v>
      </c>
      <c r="B39" s="420"/>
      <c r="C39" s="420"/>
      <c r="D39" s="420"/>
      <c r="E39" s="420"/>
      <c r="F39" s="420"/>
      <c r="G39" s="420"/>
      <c r="H39" s="420"/>
      <c r="I39" s="420"/>
    </row>
    <row r="40" spans="1:9" ht="1.95" customHeight="1"/>
    <row r="41" spans="1:9" ht="23.25" customHeight="1">
      <c r="A41" s="434" t="s">
        <v>765</v>
      </c>
      <c r="B41" s="434"/>
      <c r="C41" s="434"/>
      <c r="D41" s="434"/>
      <c r="E41" s="434"/>
      <c r="F41" s="434"/>
      <c r="G41" s="434"/>
      <c r="H41" s="434"/>
      <c r="I41" s="434"/>
    </row>
    <row r="42" spans="1:9" ht="394.95" customHeight="1">
      <c r="A42" s="420" t="s">
        <v>766</v>
      </c>
      <c r="B42" s="420"/>
      <c r="C42" s="420"/>
      <c r="D42" s="420"/>
      <c r="E42" s="420"/>
      <c r="F42" s="420"/>
      <c r="G42" s="420"/>
      <c r="H42" s="420"/>
      <c r="I42" s="420"/>
    </row>
    <row r="43" spans="1:9" ht="204.75" customHeight="1">
      <c r="A43" s="420" t="s">
        <v>767</v>
      </c>
      <c r="B43" s="420"/>
      <c r="C43" s="420"/>
      <c r="D43" s="420"/>
      <c r="E43" s="420"/>
      <c r="F43" s="420"/>
      <c r="G43" s="420"/>
      <c r="H43" s="420"/>
      <c r="I43" s="420"/>
    </row>
    <row r="44" spans="1:9" ht="39.450000000000003" customHeight="1">
      <c r="A44" s="420" t="s">
        <v>768</v>
      </c>
      <c r="B44" s="420"/>
      <c r="C44" s="420"/>
      <c r="D44" s="420"/>
      <c r="E44" s="420"/>
      <c r="F44" s="420"/>
      <c r="G44" s="420"/>
      <c r="H44" s="420"/>
      <c r="I44" s="420"/>
    </row>
    <row r="45" spans="1:9" ht="31.95" customHeight="1">
      <c r="A45" s="420" t="s">
        <v>769</v>
      </c>
      <c r="B45" s="420"/>
      <c r="C45" s="420"/>
      <c r="D45" s="420"/>
      <c r="E45" s="420"/>
      <c r="F45" s="420"/>
      <c r="G45" s="420"/>
      <c r="H45" s="420"/>
      <c r="I45" s="420"/>
    </row>
    <row r="46" spans="1:9" ht="14.25" customHeight="1">
      <c r="A46" s="420" t="s">
        <v>770</v>
      </c>
      <c r="B46" s="420"/>
      <c r="C46" s="420"/>
      <c r="D46" s="420"/>
      <c r="E46" s="420"/>
      <c r="F46" s="420"/>
      <c r="G46" s="420"/>
      <c r="H46" s="420"/>
      <c r="I46" s="420"/>
    </row>
    <row r="47" spans="1:9" ht="49.2" customHeight="1">
      <c r="A47" s="420" t="s">
        <v>771</v>
      </c>
      <c r="B47" s="420"/>
      <c r="C47" s="420"/>
      <c r="D47" s="420"/>
      <c r="E47" s="420"/>
      <c r="F47" s="420"/>
      <c r="G47" s="420"/>
      <c r="H47" s="420"/>
      <c r="I47" s="420"/>
    </row>
    <row r="48" spans="1:9" ht="96.45" customHeight="1">
      <c r="A48" s="420" t="s">
        <v>772</v>
      </c>
      <c r="B48" s="420"/>
      <c r="C48" s="420"/>
      <c r="D48" s="420"/>
      <c r="E48" s="420"/>
      <c r="F48" s="420"/>
      <c r="G48" s="420"/>
      <c r="H48" s="420"/>
      <c r="I48" s="420"/>
    </row>
    <row r="49" spans="1:9" ht="28.5" customHeight="1">
      <c r="A49" s="420" t="s">
        <v>773</v>
      </c>
      <c r="B49" s="420"/>
      <c r="C49" s="420"/>
      <c r="D49" s="420"/>
      <c r="E49" s="420"/>
      <c r="F49" s="420"/>
      <c r="G49" s="420"/>
      <c r="H49" s="420"/>
      <c r="I49" s="420"/>
    </row>
    <row r="50" spans="1:9" ht="54.45" customHeight="1">
      <c r="A50" s="420" t="s">
        <v>774</v>
      </c>
      <c r="B50" s="420"/>
      <c r="C50" s="420"/>
      <c r="D50" s="420"/>
      <c r="E50" s="420"/>
      <c r="F50" s="420"/>
      <c r="G50" s="420"/>
      <c r="H50" s="420"/>
      <c r="I50" s="420"/>
    </row>
    <row r="51" spans="1:9" ht="106.2" customHeight="1">
      <c r="A51" s="420" t="s">
        <v>775</v>
      </c>
      <c r="B51" s="420"/>
      <c r="C51" s="420"/>
      <c r="D51" s="420"/>
      <c r="E51" s="420"/>
      <c r="F51" s="420"/>
      <c r="G51" s="420"/>
      <c r="H51" s="420"/>
      <c r="I51" s="420"/>
    </row>
    <row r="52" spans="1:9" ht="75.45" customHeight="1">
      <c r="A52" s="420" t="s">
        <v>776</v>
      </c>
      <c r="B52" s="420"/>
      <c r="C52" s="420"/>
      <c r="D52" s="420"/>
      <c r="E52" s="420"/>
      <c r="F52" s="420"/>
      <c r="G52" s="420"/>
      <c r="H52" s="420"/>
      <c r="I52" s="420"/>
    </row>
    <row r="53" spans="1:9" ht="40.200000000000003" customHeight="1">
      <c r="A53" s="420" t="s">
        <v>777</v>
      </c>
      <c r="B53" s="420"/>
      <c r="C53" s="420"/>
      <c r="D53" s="420"/>
      <c r="E53" s="420"/>
      <c r="F53" s="420"/>
      <c r="G53" s="420"/>
      <c r="H53" s="420"/>
      <c r="I53" s="420"/>
    </row>
    <row r="54" spans="1:9" ht="75.45" customHeight="1">
      <c r="A54" s="420" t="s">
        <v>778</v>
      </c>
      <c r="B54" s="420"/>
      <c r="C54" s="420"/>
      <c r="D54" s="420"/>
      <c r="E54" s="420"/>
      <c r="F54" s="420"/>
      <c r="G54" s="420"/>
      <c r="H54" s="420"/>
      <c r="I54" s="420"/>
    </row>
    <row r="55" spans="1:9" ht="40.200000000000003" customHeight="1">
      <c r="A55" s="420" t="s">
        <v>779</v>
      </c>
      <c r="B55" s="420"/>
      <c r="C55" s="420"/>
      <c r="D55" s="420"/>
      <c r="E55" s="420"/>
      <c r="F55" s="420"/>
      <c r="G55" s="420"/>
      <c r="H55" s="420"/>
      <c r="I55" s="420"/>
    </row>
    <row r="56" spans="1:9" ht="409.2" customHeight="1">
      <c r="A56" s="420" t="s">
        <v>780</v>
      </c>
      <c r="B56" s="420"/>
      <c r="C56" s="420"/>
      <c r="D56" s="420"/>
      <c r="E56" s="420"/>
      <c r="F56" s="420"/>
      <c r="G56" s="420"/>
      <c r="H56" s="420"/>
      <c r="I56" s="420"/>
    </row>
    <row r="57" spans="1:9" ht="231.45" customHeight="1">
      <c r="A57" s="420"/>
      <c r="B57" s="420"/>
      <c r="C57" s="420"/>
      <c r="D57" s="420"/>
      <c r="E57" s="420"/>
      <c r="F57" s="420"/>
      <c r="G57" s="420"/>
      <c r="H57" s="420"/>
      <c r="I57" s="420"/>
    </row>
    <row r="58" spans="1:9" ht="186.45" customHeight="1">
      <c r="A58" s="420" t="s">
        <v>781</v>
      </c>
      <c r="B58" s="420"/>
      <c r="C58" s="420"/>
      <c r="D58" s="420"/>
      <c r="E58" s="420"/>
      <c r="F58" s="420"/>
      <c r="G58" s="420"/>
      <c r="H58" s="420"/>
      <c r="I58" s="420"/>
    </row>
    <row r="59" spans="1:9" ht="153.75" customHeight="1">
      <c r="A59" s="420" t="s">
        <v>782</v>
      </c>
      <c r="B59" s="420"/>
      <c r="C59" s="420"/>
      <c r="D59" s="420"/>
      <c r="E59" s="420"/>
      <c r="F59" s="420"/>
      <c r="G59" s="420"/>
      <c r="H59" s="420"/>
      <c r="I59" s="420"/>
    </row>
    <row r="60" spans="1:9" ht="214.95" customHeight="1">
      <c r="A60" s="420" t="s">
        <v>783</v>
      </c>
      <c r="B60" s="420"/>
      <c r="C60" s="420"/>
      <c r="D60" s="420"/>
      <c r="E60" s="420"/>
      <c r="F60" s="420"/>
      <c r="G60" s="420"/>
      <c r="H60" s="420"/>
      <c r="I60" s="420"/>
    </row>
    <row r="61" spans="1:9" ht="86.7" customHeight="1">
      <c r="A61" s="420" t="s">
        <v>784</v>
      </c>
      <c r="B61" s="420"/>
      <c r="C61" s="420"/>
      <c r="D61" s="420"/>
      <c r="E61" s="420"/>
      <c r="F61" s="420"/>
      <c r="G61" s="420"/>
      <c r="H61" s="420"/>
      <c r="I61" s="420"/>
    </row>
    <row r="62" spans="1:9" ht="205.2" customHeight="1">
      <c r="A62" s="420" t="s">
        <v>785</v>
      </c>
      <c r="B62" s="420"/>
      <c r="C62" s="420"/>
      <c r="D62" s="420"/>
      <c r="E62" s="420"/>
      <c r="F62" s="420"/>
      <c r="G62" s="420"/>
      <c r="H62" s="420"/>
      <c r="I62" s="420"/>
    </row>
    <row r="63" spans="1:9" ht="310.2" customHeight="1">
      <c r="A63" s="420" t="s">
        <v>786</v>
      </c>
      <c r="B63" s="420"/>
      <c r="C63" s="420"/>
      <c r="D63" s="420"/>
      <c r="E63" s="420"/>
      <c r="F63" s="420"/>
      <c r="G63" s="420"/>
      <c r="H63" s="420"/>
      <c r="I63" s="420"/>
    </row>
    <row r="64" spans="1:9" ht="28.5" customHeight="1">
      <c r="A64" s="420" t="s">
        <v>787</v>
      </c>
      <c r="B64" s="420"/>
      <c r="C64" s="420"/>
      <c r="D64" s="420"/>
      <c r="E64" s="420"/>
      <c r="F64" s="420"/>
      <c r="G64" s="420"/>
      <c r="H64" s="420"/>
      <c r="I64" s="420"/>
    </row>
    <row r="65" spans="1:9" ht="102.45" customHeight="1">
      <c r="A65" s="420" t="s">
        <v>788</v>
      </c>
      <c r="B65" s="420"/>
      <c r="C65" s="420"/>
      <c r="D65" s="420"/>
      <c r="E65" s="420"/>
      <c r="F65" s="420"/>
      <c r="G65" s="420"/>
      <c r="H65" s="420"/>
      <c r="I65" s="420"/>
    </row>
    <row r="66" spans="1:9" ht="42.75" customHeight="1">
      <c r="A66" s="420" t="s">
        <v>789</v>
      </c>
      <c r="B66" s="420"/>
      <c r="C66" s="420"/>
      <c r="D66" s="420"/>
      <c r="E66" s="420"/>
      <c r="F66" s="420"/>
      <c r="G66" s="420"/>
      <c r="H66" s="420"/>
      <c r="I66" s="420"/>
    </row>
    <row r="67" spans="1:9" ht="28.95" customHeight="1">
      <c r="A67" s="420" t="s">
        <v>790</v>
      </c>
      <c r="B67" s="420"/>
      <c r="C67" s="420"/>
      <c r="D67" s="420"/>
      <c r="E67" s="420"/>
      <c r="F67" s="420"/>
      <c r="G67" s="420"/>
      <c r="H67" s="420"/>
      <c r="I67" s="420"/>
    </row>
    <row r="68" spans="1:9" ht="66.45" customHeight="1">
      <c r="A68" s="321" t="s">
        <v>791</v>
      </c>
      <c r="B68" s="321"/>
      <c r="C68" s="321"/>
      <c r="D68" s="321"/>
      <c r="E68" s="321"/>
      <c r="F68" s="321"/>
      <c r="G68" s="321"/>
      <c r="H68" s="321"/>
      <c r="I68" s="321"/>
    </row>
    <row r="69" spans="1:9" ht="75.45" customHeight="1">
      <c r="A69" s="420" t="s">
        <v>792</v>
      </c>
      <c r="B69" s="420"/>
      <c r="C69" s="420"/>
      <c r="D69" s="420"/>
      <c r="E69" s="420"/>
      <c r="F69" s="420"/>
      <c r="G69" s="420"/>
      <c r="H69" s="420"/>
      <c r="I69" s="420"/>
    </row>
    <row r="70" spans="1:9" ht="1.2" customHeight="1"/>
    <row r="71" spans="1:9" ht="1.95" customHeight="1"/>
    <row r="72" spans="1:9" ht="295.95" customHeight="1"/>
    <row r="73" spans="1:9" ht="118.95" customHeight="1">
      <c r="A73" s="420" t="s">
        <v>793</v>
      </c>
      <c r="B73" s="420"/>
      <c r="C73" s="420"/>
      <c r="D73" s="420"/>
      <c r="E73" s="420"/>
      <c r="F73" s="420"/>
      <c r="G73" s="420"/>
      <c r="H73" s="420"/>
      <c r="I73" s="420"/>
    </row>
    <row r="74" spans="1:9" ht="14.25" customHeight="1">
      <c r="A74" s="435" t="s">
        <v>794</v>
      </c>
      <c r="B74" s="435"/>
      <c r="C74" s="435"/>
      <c r="D74" s="435"/>
      <c r="E74" s="435"/>
      <c r="F74" s="435"/>
      <c r="G74" s="435"/>
      <c r="H74" s="435"/>
      <c r="I74" s="435"/>
    </row>
    <row r="75" spans="1:9" ht="55.2" customHeight="1">
      <c r="A75" s="420" t="s">
        <v>795</v>
      </c>
      <c r="B75" s="420"/>
      <c r="C75" s="420"/>
      <c r="D75" s="420"/>
      <c r="E75" s="420"/>
      <c r="F75" s="420"/>
      <c r="G75" s="420"/>
      <c r="H75" s="420"/>
      <c r="I75" s="420"/>
    </row>
    <row r="76" spans="1:9" ht="409.2" customHeight="1">
      <c r="A76" s="420" t="s">
        <v>796</v>
      </c>
      <c r="B76" s="420"/>
      <c r="C76" s="420"/>
      <c r="D76" s="420"/>
      <c r="E76" s="420"/>
      <c r="F76" s="420"/>
      <c r="G76" s="420"/>
      <c r="H76" s="420"/>
      <c r="I76" s="420"/>
    </row>
    <row r="77" spans="1:9" ht="13.95" customHeight="1">
      <c r="A77" s="420"/>
      <c r="B77" s="420"/>
      <c r="C77" s="420"/>
      <c r="D77" s="420"/>
      <c r="E77" s="420"/>
      <c r="F77" s="420"/>
      <c r="G77" s="420"/>
      <c r="H77" s="420"/>
      <c r="I77" s="420"/>
    </row>
    <row r="78" spans="1:9" ht="106.95" customHeight="1">
      <c r="A78" s="420" t="s">
        <v>797</v>
      </c>
      <c r="B78" s="420"/>
      <c r="C78" s="420"/>
      <c r="D78" s="420"/>
      <c r="E78" s="420"/>
      <c r="F78" s="420"/>
      <c r="G78" s="420"/>
      <c r="H78" s="420"/>
      <c r="I78" s="420"/>
    </row>
    <row r="79" spans="1:9" ht="96.45" customHeight="1">
      <c r="A79" s="420" t="s">
        <v>798</v>
      </c>
      <c r="B79" s="420"/>
      <c r="C79" s="420"/>
      <c r="D79" s="420"/>
      <c r="E79" s="420"/>
      <c r="F79" s="420"/>
      <c r="G79" s="420"/>
      <c r="H79" s="420"/>
      <c r="I79" s="420"/>
    </row>
    <row r="80" spans="1:9" ht="23.25" customHeight="1">
      <c r="A80" s="434" t="s">
        <v>799</v>
      </c>
      <c r="B80" s="434"/>
      <c r="C80" s="434"/>
      <c r="D80" s="434"/>
      <c r="E80" s="434"/>
      <c r="F80" s="434"/>
      <c r="G80" s="434"/>
      <c r="H80" s="434"/>
      <c r="I80" s="434"/>
    </row>
    <row r="81" spans="1:9" ht="11.25" customHeight="1">
      <c r="A81" s="421" t="s">
        <v>14</v>
      </c>
      <c r="B81" s="421"/>
      <c r="C81" s="421"/>
      <c r="D81" s="421"/>
      <c r="E81" s="421"/>
      <c r="F81" s="421"/>
      <c r="G81" s="421"/>
      <c r="H81" s="421"/>
      <c r="I81" s="421"/>
    </row>
    <row r="82" spans="1:9" ht="14.25" customHeight="1">
      <c r="A82" s="420" t="s">
        <v>800</v>
      </c>
      <c r="B82" s="420"/>
      <c r="C82" s="420"/>
      <c r="D82" s="420"/>
      <c r="E82" s="420"/>
      <c r="F82" s="420"/>
      <c r="G82" s="420"/>
      <c r="H82" s="420"/>
      <c r="I82" s="420"/>
    </row>
    <row r="83" spans="1:9" ht="14.25" customHeight="1">
      <c r="A83" s="420" t="s">
        <v>801</v>
      </c>
      <c r="B83" s="420"/>
      <c r="C83" s="420"/>
      <c r="D83" s="420"/>
      <c r="E83" s="420"/>
      <c r="F83" s="420"/>
      <c r="G83" s="420"/>
      <c r="H83" s="420"/>
      <c r="I83" s="420"/>
    </row>
    <row r="84" spans="1:9" ht="3" customHeight="1"/>
    <row r="85" spans="1:9" ht="1.2" customHeight="1"/>
    <row r="86" spans="1:9" ht="1.2" customHeight="1"/>
    <row r="87" spans="1:9" ht="1.2" customHeight="1"/>
  </sheetData>
  <mergeCells count="41">
    <mergeCell ref="A83:I83"/>
    <mergeCell ref="A78:I78"/>
    <mergeCell ref="A79:I79"/>
    <mergeCell ref="A80:I80"/>
    <mergeCell ref="A81:I81"/>
    <mergeCell ref="A82:I82"/>
    <mergeCell ref="A69:I69"/>
    <mergeCell ref="A73:I73"/>
    <mergeCell ref="A74:I74"/>
    <mergeCell ref="A75:I75"/>
    <mergeCell ref="A76:I77"/>
    <mergeCell ref="A64:I64"/>
    <mergeCell ref="A65:I65"/>
    <mergeCell ref="A66:I66"/>
    <mergeCell ref="A67:I67"/>
    <mergeCell ref="A68:I68"/>
    <mergeCell ref="A59:I59"/>
    <mergeCell ref="A60:I60"/>
    <mergeCell ref="A61:I61"/>
    <mergeCell ref="A62:I62"/>
    <mergeCell ref="A63:I63"/>
    <mergeCell ref="A53:I53"/>
    <mergeCell ref="A54:I54"/>
    <mergeCell ref="A55:I55"/>
    <mergeCell ref="A56:I57"/>
    <mergeCell ref="A58:I58"/>
    <mergeCell ref="A48:I48"/>
    <mergeCell ref="A49:I49"/>
    <mergeCell ref="A50:I50"/>
    <mergeCell ref="A51:I51"/>
    <mergeCell ref="A52:I52"/>
    <mergeCell ref="A43:I43"/>
    <mergeCell ref="A44:I44"/>
    <mergeCell ref="A45:I45"/>
    <mergeCell ref="A46:I46"/>
    <mergeCell ref="A47:I47"/>
    <mergeCell ref="A1:I1"/>
    <mergeCell ref="A38:I38"/>
    <mergeCell ref="A39:I39"/>
    <mergeCell ref="A41:I41"/>
    <mergeCell ref="A42:I42"/>
  </mergeCells>
  <hyperlinks>
    <hyperlink ref="A42" r:id="rId1" display="https://www.nsf.gov/statistics/srvydoctoratework/" xr:uid="{00000000-0004-0000-6100-000000000000}"/>
    <hyperlink ref="A75" r:id="rId2" display="https://ncses.nsf.gov/indicators" xr:uid="{00000000-0004-0000-6100-000001000000}"/>
    <hyperlink ref="A51" location="'Table 106'!A23" display="bookmark38" xr:uid="{00000000-0004-0000-6100-000002000000}"/>
  </hyperlinks>
  <pageMargins left="0.7" right="0.7" top="0.75" bottom="0.75" header="0.3" footer="0.3"/>
  <drawing r:id="rId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theme="0"/>
  </sheetPr>
  <dimension ref="A1:I51"/>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36" t="s">
        <v>803</v>
      </c>
      <c r="B3" s="437"/>
      <c r="C3" s="330" t="s">
        <v>804</v>
      </c>
      <c r="D3" s="332"/>
      <c r="E3" s="330" t="s">
        <v>805</v>
      </c>
      <c r="F3" s="332"/>
      <c r="G3" s="330" t="s">
        <v>806</v>
      </c>
      <c r="H3" s="332"/>
    </row>
    <row r="4" spans="1:9" ht="13.95" customHeight="1">
      <c r="A4" s="4" t="s">
        <v>807</v>
      </c>
      <c r="B4" s="5" t="s">
        <v>808</v>
      </c>
      <c r="C4" s="4" t="s">
        <v>807</v>
      </c>
      <c r="D4" s="23" t="s">
        <v>808</v>
      </c>
      <c r="E4" s="23" t="s">
        <v>807</v>
      </c>
      <c r="F4" s="23" t="s">
        <v>808</v>
      </c>
      <c r="G4" s="23" t="s">
        <v>807</v>
      </c>
      <c r="H4" s="23" t="s">
        <v>808</v>
      </c>
    </row>
    <row r="5" spans="1:9" ht="12.45" customHeight="1">
      <c r="A5" s="438">
        <v>1</v>
      </c>
      <c r="B5" s="440" t="s">
        <v>178</v>
      </c>
      <c r="C5" s="438">
        <v>1</v>
      </c>
      <c r="D5" s="440" t="s">
        <v>183</v>
      </c>
      <c r="E5" s="438">
        <v>11</v>
      </c>
      <c r="F5" s="440" t="s">
        <v>184</v>
      </c>
      <c r="G5" s="89">
        <v>116710</v>
      </c>
      <c r="H5" s="6" t="s">
        <v>184</v>
      </c>
    </row>
    <row r="6" spans="1:9" ht="12.45" customHeight="1">
      <c r="A6" s="439"/>
      <c r="B6" s="441"/>
      <c r="C6" s="439"/>
      <c r="D6" s="441"/>
      <c r="E6" s="439"/>
      <c r="F6" s="441"/>
      <c r="G6" s="90">
        <v>116730</v>
      </c>
      <c r="H6" s="91" t="s">
        <v>809</v>
      </c>
    </row>
    <row r="7" spans="1:9" ht="12.45" customHeight="1">
      <c r="A7" s="439"/>
      <c r="B7" s="441"/>
      <c r="C7" s="439"/>
      <c r="D7" s="441"/>
      <c r="E7" s="439"/>
      <c r="F7" s="441"/>
      <c r="G7" s="90">
        <v>116740</v>
      </c>
      <c r="H7" s="91" t="s">
        <v>810</v>
      </c>
    </row>
    <row r="8" spans="1:9" ht="12.45" customHeight="1">
      <c r="A8" s="439"/>
      <c r="B8" s="441"/>
      <c r="C8" s="439"/>
      <c r="D8" s="441"/>
      <c r="E8" s="439"/>
      <c r="F8" s="441"/>
      <c r="G8" s="90">
        <v>116760</v>
      </c>
      <c r="H8" s="91" t="s">
        <v>811</v>
      </c>
    </row>
    <row r="9" spans="1:9" ht="12.45" customHeight="1">
      <c r="A9" s="439"/>
      <c r="B9" s="441"/>
      <c r="C9" s="439"/>
      <c r="D9" s="441"/>
      <c r="E9" s="442"/>
      <c r="F9" s="443"/>
      <c r="G9" s="90">
        <v>116770</v>
      </c>
      <c r="H9" s="91" t="s">
        <v>812</v>
      </c>
    </row>
    <row r="10" spans="1:9" ht="12.45" customHeight="1">
      <c r="A10" s="439"/>
      <c r="B10" s="441"/>
      <c r="C10" s="439"/>
      <c r="D10" s="441"/>
      <c r="E10" s="444">
        <v>12</v>
      </c>
      <c r="F10" s="445" t="s">
        <v>185</v>
      </c>
      <c r="G10" s="90">
        <v>128410</v>
      </c>
      <c r="H10" s="91" t="s">
        <v>813</v>
      </c>
    </row>
    <row r="11" spans="1:9" ht="12.45" customHeight="1">
      <c r="A11" s="439"/>
      <c r="B11" s="441"/>
      <c r="C11" s="439"/>
      <c r="D11" s="441"/>
      <c r="E11" s="439"/>
      <c r="F11" s="441"/>
      <c r="G11" s="90">
        <v>128420</v>
      </c>
      <c r="H11" s="91" t="s">
        <v>814</v>
      </c>
    </row>
    <row r="12" spans="1:9" ht="12.45" customHeight="1">
      <c r="A12" s="439"/>
      <c r="B12" s="441"/>
      <c r="C12" s="439"/>
      <c r="D12" s="441"/>
      <c r="E12" s="439"/>
      <c r="F12" s="441"/>
      <c r="G12" s="90">
        <v>128430</v>
      </c>
      <c r="H12" s="91" t="s">
        <v>815</v>
      </c>
    </row>
    <row r="13" spans="1:9" ht="12.45" customHeight="1">
      <c r="A13" s="439"/>
      <c r="B13" s="441"/>
      <c r="C13" s="439"/>
      <c r="D13" s="441"/>
      <c r="E13" s="439"/>
      <c r="F13" s="441"/>
      <c r="G13" s="90">
        <v>128440</v>
      </c>
      <c r="H13" s="91" t="s">
        <v>816</v>
      </c>
    </row>
    <row r="14" spans="1:9" ht="12.45" customHeight="1">
      <c r="A14" s="439"/>
      <c r="B14" s="441"/>
      <c r="C14" s="442"/>
      <c r="D14" s="443"/>
      <c r="E14" s="442"/>
      <c r="F14" s="443"/>
      <c r="G14" s="90">
        <v>128450</v>
      </c>
      <c r="H14" s="91" t="s">
        <v>817</v>
      </c>
    </row>
    <row r="15" spans="1:9" ht="12.45" customHeight="1">
      <c r="A15" s="439"/>
      <c r="B15" s="441"/>
      <c r="C15" s="444">
        <v>2</v>
      </c>
      <c r="D15" s="445" t="s">
        <v>179</v>
      </c>
      <c r="E15" s="444">
        <v>21</v>
      </c>
      <c r="F15" s="445" t="s">
        <v>180</v>
      </c>
      <c r="G15" s="90">
        <v>216050</v>
      </c>
      <c r="H15" s="91" t="s">
        <v>818</v>
      </c>
    </row>
    <row r="16" spans="1:9" ht="12.45" customHeight="1">
      <c r="A16" s="439"/>
      <c r="B16" s="441"/>
      <c r="C16" s="439"/>
      <c r="D16" s="441"/>
      <c r="E16" s="439"/>
      <c r="F16" s="441"/>
      <c r="G16" s="90">
        <v>216060</v>
      </c>
      <c r="H16" s="91" t="s">
        <v>819</v>
      </c>
    </row>
    <row r="17" spans="1:8" ht="12.45" customHeight="1">
      <c r="A17" s="439"/>
      <c r="B17" s="441"/>
      <c r="C17" s="439"/>
      <c r="D17" s="441"/>
      <c r="E17" s="439"/>
      <c r="F17" s="441"/>
      <c r="G17" s="90">
        <v>216070</v>
      </c>
      <c r="H17" s="91" t="s">
        <v>820</v>
      </c>
    </row>
    <row r="18" spans="1:8" ht="12.45" customHeight="1">
      <c r="A18" s="439"/>
      <c r="B18" s="441"/>
      <c r="C18" s="439"/>
      <c r="D18" s="441"/>
      <c r="E18" s="442"/>
      <c r="F18" s="443"/>
      <c r="G18" s="90">
        <v>216080</v>
      </c>
      <c r="H18" s="91" t="s">
        <v>821</v>
      </c>
    </row>
    <row r="19" spans="1:8" ht="12.45" customHeight="1">
      <c r="A19" s="439"/>
      <c r="B19" s="441"/>
      <c r="C19" s="439"/>
      <c r="D19" s="441"/>
      <c r="E19" s="444">
        <v>22</v>
      </c>
      <c r="F19" s="445" t="s">
        <v>181</v>
      </c>
      <c r="G19" s="90">
        <v>226310</v>
      </c>
      <c r="H19" s="91" t="s">
        <v>822</v>
      </c>
    </row>
    <row r="20" spans="1:8" ht="12.45" customHeight="1">
      <c r="A20" s="439"/>
      <c r="B20" s="441"/>
      <c r="C20" s="439"/>
      <c r="D20" s="441"/>
      <c r="E20" s="439"/>
      <c r="F20" s="441"/>
      <c r="G20" s="90">
        <v>226320</v>
      </c>
      <c r="H20" s="91" t="s">
        <v>823</v>
      </c>
    </row>
    <row r="21" spans="1:8" ht="12.45" customHeight="1">
      <c r="A21" s="439"/>
      <c r="B21" s="441"/>
      <c r="C21" s="439"/>
      <c r="D21" s="441"/>
      <c r="E21" s="439"/>
      <c r="F21" s="441"/>
      <c r="G21" s="90">
        <v>226330</v>
      </c>
      <c r="H21" s="91" t="s">
        <v>824</v>
      </c>
    </row>
    <row r="22" spans="1:8" ht="12.45" customHeight="1">
      <c r="A22" s="439"/>
      <c r="B22" s="441"/>
      <c r="C22" s="439"/>
      <c r="D22" s="441"/>
      <c r="E22" s="439"/>
      <c r="F22" s="441"/>
      <c r="G22" s="90">
        <v>226340</v>
      </c>
      <c r="H22" s="91" t="s">
        <v>825</v>
      </c>
    </row>
    <row r="23" spans="1:8" ht="12.45" customHeight="1">
      <c r="A23" s="439"/>
      <c r="B23" s="441"/>
      <c r="C23" s="439"/>
      <c r="D23" s="441"/>
      <c r="E23" s="439"/>
      <c r="F23" s="441"/>
      <c r="G23" s="90">
        <v>226350</v>
      </c>
      <c r="H23" s="91" t="s">
        <v>826</v>
      </c>
    </row>
    <row r="24" spans="1:8" ht="12.45" customHeight="1">
      <c r="A24" s="439"/>
      <c r="B24" s="441"/>
      <c r="C24" s="439"/>
      <c r="D24" s="441"/>
      <c r="E24" s="439"/>
      <c r="F24" s="441"/>
      <c r="G24" s="90">
        <v>226360</v>
      </c>
      <c r="H24" s="91" t="s">
        <v>827</v>
      </c>
    </row>
    <row r="25" spans="1:8" ht="12.45" customHeight="1">
      <c r="A25" s="439"/>
      <c r="B25" s="441"/>
      <c r="C25" s="439"/>
      <c r="D25" s="441"/>
      <c r="E25" s="439"/>
      <c r="F25" s="441"/>
      <c r="G25" s="90">
        <v>226370</v>
      </c>
      <c r="H25" s="91" t="s">
        <v>828</v>
      </c>
    </row>
    <row r="26" spans="1:8" ht="12.45" customHeight="1">
      <c r="A26" s="439"/>
      <c r="B26" s="441"/>
      <c r="C26" s="439"/>
      <c r="D26" s="441"/>
      <c r="E26" s="439"/>
      <c r="F26" s="441"/>
      <c r="G26" s="90">
        <v>226380</v>
      </c>
      <c r="H26" s="91" t="s">
        <v>829</v>
      </c>
    </row>
    <row r="27" spans="1:8" ht="12.45" customHeight="1">
      <c r="A27" s="439"/>
      <c r="B27" s="441"/>
      <c r="C27" s="439"/>
      <c r="D27" s="441"/>
      <c r="E27" s="439"/>
      <c r="F27" s="441"/>
      <c r="G27" s="90">
        <v>226390</v>
      </c>
      <c r="H27" s="91" t="s">
        <v>830</v>
      </c>
    </row>
    <row r="28" spans="1:8" ht="22.2" customHeight="1">
      <c r="A28" s="439"/>
      <c r="B28" s="441"/>
      <c r="C28" s="439"/>
      <c r="D28" s="441"/>
      <c r="E28" s="439"/>
      <c r="F28" s="441"/>
      <c r="G28" s="90">
        <v>226400</v>
      </c>
      <c r="H28" s="91" t="s">
        <v>831</v>
      </c>
    </row>
    <row r="29" spans="1:8" ht="12.45" customHeight="1">
      <c r="A29" s="439"/>
      <c r="B29" s="441"/>
      <c r="C29" s="439"/>
      <c r="D29" s="441"/>
      <c r="E29" s="439"/>
      <c r="F29" s="441"/>
      <c r="G29" s="90">
        <v>226410</v>
      </c>
      <c r="H29" s="91" t="s">
        <v>832</v>
      </c>
    </row>
    <row r="30" spans="1:8" ht="12.45" customHeight="1">
      <c r="A30" s="439"/>
      <c r="B30" s="441"/>
      <c r="C30" s="439"/>
      <c r="D30" s="441"/>
      <c r="E30" s="442"/>
      <c r="F30" s="443"/>
      <c r="G30" s="90">
        <v>226420</v>
      </c>
      <c r="H30" s="91" t="s">
        <v>833</v>
      </c>
    </row>
    <row r="31" spans="1:8" ht="12.45" customHeight="1">
      <c r="A31" s="439"/>
      <c r="B31" s="441"/>
      <c r="C31" s="439"/>
      <c r="D31" s="441"/>
      <c r="E31" s="444">
        <v>23</v>
      </c>
      <c r="F31" s="445" t="s">
        <v>182</v>
      </c>
      <c r="G31" s="90">
        <v>236800</v>
      </c>
      <c r="H31" s="91" t="s">
        <v>834</v>
      </c>
    </row>
    <row r="32" spans="1:8" ht="12.45" customHeight="1">
      <c r="A32" s="439"/>
      <c r="B32" s="441"/>
      <c r="C32" s="442"/>
      <c r="D32" s="443"/>
      <c r="E32" s="442"/>
      <c r="F32" s="443"/>
      <c r="G32" s="90">
        <v>236810</v>
      </c>
      <c r="H32" s="91" t="s">
        <v>835</v>
      </c>
    </row>
    <row r="33" spans="1:8" ht="22.2" customHeight="1">
      <c r="A33" s="439"/>
      <c r="B33" s="441"/>
      <c r="C33" s="444">
        <v>3</v>
      </c>
      <c r="D33" s="445" t="s">
        <v>186</v>
      </c>
      <c r="E33" s="90">
        <v>31</v>
      </c>
      <c r="F33" s="91" t="s">
        <v>187</v>
      </c>
      <c r="G33" s="90">
        <v>318730</v>
      </c>
      <c r="H33" s="91" t="s">
        <v>187</v>
      </c>
    </row>
    <row r="34" spans="1:8" ht="12.45" customHeight="1">
      <c r="A34" s="439"/>
      <c r="B34" s="441"/>
      <c r="C34" s="439"/>
      <c r="D34" s="441"/>
      <c r="E34" s="444">
        <v>32</v>
      </c>
      <c r="F34" s="445" t="s">
        <v>188</v>
      </c>
      <c r="G34" s="90">
        <v>328720</v>
      </c>
      <c r="H34" s="91" t="s">
        <v>836</v>
      </c>
    </row>
    <row r="35" spans="1:8" ht="12.45" customHeight="1">
      <c r="A35" s="439"/>
      <c r="B35" s="441"/>
      <c r="C35" s="439"/>
      <c r="D35" s="441"/>
      <c r="E35" s="439"/>
      <c r="F35" s="441"/>
      <c r="G35" s="90">
        <v>328740</v>
      </c>
      <c r="H35" s="91" t="s">
        <v>837</v>
      </c>
    </row>
    <row r="36" spans="1:8" ht="12.45" customHeight="1">
      <c r="A36" s="439"/>
      <c r="B36" s="441"/>
      <c r="C36" s="439"/>
      <c r="D36" s="441"/>
      <c r="E36" s="439"/>
      <c r="F36" s="441"/>
      <c r="G36" s="90">
        <v>328750</v>
      </c>
      <c r="H36" s="91" t="s">
        <v>838</v>
      </c>
    </row>
    <row r="37" spans="1:8" ht="24" customHeight="1">
      <c r="A37" s="439"/>
      <c r="B37" s="441"/>
      <c r="C37" s="439"/>
      <c r="D37" s="441"/>
      <c r="E37" s="442"/>
      <c r="F37" s="443"/>
      <c r="G37" s="90">
        <v>328760</v>
      </c>
      <c r="H37" s="95" t="s">
        <v>839</v>
      </c>
    </row>
    <row r="38" spans="1:8" ht="12.45" customHeight="1">
      <c r="A38" s="439"/>
      <c r="B38" s="441"/>
      <c r="C38" s="439"/>
      <c r="D38" s="441"/>
      <c r="E38" s="444">
        <v>33</v>
      </c>
      <c r="F38" s="445" t="s">
        <v>189</v>
      </c>
      <c r="G38" s="90">
        <v>338710</v>
      </c>
      <c r="H38" s="91" t="s">
        <v>840</v>
      </c>
    </row>
    <row r="39" spans="1:8" ht="12.45" customHeight="1">
      <c r="A39" s="439"/>
      <c r="B39" s="441"/>
      <c r="C39" s="439"/>
      <c r="D39" s="441"/>
      <c r="E39" s="442"/>
      <c r="F39" s="443"/>
      <c r="G39" s="90">
        <v>338780</v>
      </c>
      <c r="H39" s="91" t="s">
        <v>841</v>
      </c>
    </row>
    <row r="40" spans="1:8" ht="12.45" customHeight="1">
      <c r="A40" s="439"/>
      <c r="B40" s="441"/>
      <c r="C40" s="442"/>
      <c r="D40" s="443"/>
      <c r="E40" s="90">
        <v>34</v>
      </c>
      <c r="F40" s="91" t="s">
        <v>190</v>
      </c>
      <c r="G40" s="90">
        <v>348790</v>
      </c>
      <c r="H40" s="91" t="s">
        <v>190</v>
      </c>
    </row>
    <row r="41" spans="1:8" ht="12.45" customHeight="1">
      <c r="A41" s="439"/>
      <c r="B41" s="441"/>
      <c r="C41" s="444">
        <v>4</v>
      </c>
      <c r="D41" s="445" t="s">
        <v>192</v>
      </c>
      <c r="E41" s="444">
        <v>41</v>
      </c>
      <c r="F41" s="445" t="s">
        <v>193</v>
      </c>
      <c r="G41" s="90">
        <v>416010</v>
      </c>
      <c r="H41" s="91" t="s">
        <v>842</v>
      </c>
    </row>
    <row r="42" spans="1:8" ht="12.45" customHeight="1">
      <c r="A42" s="439"/>
      <c r="B42" s="441"/>
      <c r="C42" s="439"/>
      <c r="D42" s="441"/>
      <c r="E42" s="442"/>
      <c r="F42" s="443"/>
      <c r="G42" s="90">
        <v>419230</v>
      </c>
      <c r="H42" s="91" t="s">
        <v>193</v>
      </c>
    </row>
    <row r="43" spans="1:8" ht="12.45" customHeight="1">
      <c r="A43" s="439"/>
      <c r="B43" s="441"/>
      <c r="C43" s="439"/>
      <c r="D43" s="441"/>
      <c r="E43" s="444">
        <v>42</v>
      </c>
      <c r="F43" s="445" t="s">
        <v>194</v>
      </c>
      <c r="G43" s="90">
        <v>429020</v>
      </c>
      <c r="H43" s="91" t="s">
        <v>843</v>
      </c>
    </row>
    <row r="44" spans="1:8" ht="12.45" customHeight="1">
      <c r="A44" s="439"/>
      <c r="B44" s="441"/>
      <c r="C44" s="439"/>
      <c r="D44" s="441"/>
      <c r="E44" s="439"/>
      <c r="F44" s="441"/>
      <c r="G44" s="90">
        <v>429270</v>
      </c>
      <c r="H44" s="91" t="s">
        <v>844</v>
      </c>
    </row>
    <row r="45" spans="1:8" ht="12.45" customHeight="1">
      <c r="A45" s="439"/>
      <c r="B45" s="441"/>
      <c r="C45" s="439"/>
      <c r="D45" s="441"/>
      <c r="E45" s="442"/>
      <c r="F45" s="443"/>
      <c r="G45" s="90">
        <v>429280</v>
      </c>
      <c r="H45" s="91" t="s">
        <v>845</v>
      </c>
    </row>
    <row r="46" spans="1:8" ht="12.45" customHeight="1">
      <c r="A46" s="439"/>
      <c r="B46" s="441"/>
      <c r="C46" s="439"/>
      <c r="D46" s="441"/>
      <c r="E46" s="444">
        <v>43</v>
      </c>
      <c r="F46" s="445" t="s">
        <v>195</v>
      </c>
      <c r="G46" s="90">
        <v>437040</v>
      </c>
      <c r="H46" s="91" t="s">
        <v>846</v>
      </c>
    </row>
    <row r="47" spans="1:8" ht="12.45" customHeight="1">
      <c r="A47" s="439"/>
      <c r="B47" s="441"/>
      <c r="C47" s="439"/>
      <c r="D47" s="441"/>
      <c r="E47" s="439"/>
      <c r="F47" s="441"/>
      <c r="G47" s="90">
        <v>438910</v>
      </c>
      <c r="H47" s="91" t="s">
        <v>847</v>
      </c>
    </row>
    <row r="48" spans="1:8" ht="12.45" customHeight="1">
      <c r="A48" s="439"/>
      <c r="B48" s="441"/>
      <c r="C48" s="439"/>
      <c r="D48" s="441"/>
      <c r="E48" s="439"/>
      <c r="F48" s="441"/>
      <c r="G48" s="90">
        <v>438920</v>
      </c>
      <c r="H48" s="91" t="s">
        <v>848</v>
      </c>
    </row>
    <row r="49" spans="1:8" ht="12.45" customHeight="1">
      <c r="A49" s="439"/>
      <c r="B49" s="441"/>
      <c r="C49" s="439"/>
      <c r="D49" s="441"/>
      <c r="E49" s="439"/>
      <c r="F49" s="441"/>
      <c r="G49" s="90">
        <v>438930</v>
      </c>
      <c r="H49" s="91" t="s">
        <v>849</v>
      </c>
    </row>
    <row r="50" spans="1:8" ht="12.45" customHeight="1">
      <c r="A50" s="439"/>
      <c r="B50" s="441"/>
      <c r="C50" s="439"/>
      <c r="D50" s="441"/>
      <c r="E50" s="439"/>
      <c r="F50" s="441"/>
      <c r="G50" s="90">
        <v>438940</v>
      </c>
      <c r="H50" s="91" t="s">
        <v>850</v>
      </c>
    </row>
    <row r="51" spans="1:8" ht="12.45" customHeight="1">
      <c r="A51" s="439"/>
      <c r="B51" s="441"/>
      <c r="C51" s="439"/>
      <c r="D51" s="441"/>
      <c r="E51" s="439"/>
      <c r="F51" s="441"/>
      <c r="G51" s="90">
        <v>438950</v>
      </c>
      <c r="H51" s="91" t="s">
        <v>851</v>
      </c>
    </row>
  </sheetData>
  <mergeCells count="35">
    <mergeCell ref="F34:F37"/>
    <mergeCell ref="E38:E39"/>
    <mergeCell ref="F38:F39"/>
    <mergeCell ref="C41:C51"/>
    <mergeCell ref="D41:D51"/>
    <mergeCell ref="E41:E42"/>
    <mergeCell ref="F41:F42"/>
    <mergeCell ref="E43:E45"/>
    <mergeCell ref="F43:F45"/>
    <mergeCell ref="E46:E51"/>
    <mergeCell ref="F46:F51"/>
    <mergeCell ref="F5:F9"/>
    <mergeCell ref="E10:E14"/>
    <mergeCell ref="F10:F14"/>
    <mergeCell ref="C15:C32"/>
    <mergeCell ref="D15:D32"/>
    <mergeCell ref="E15:E18"/>
    <mergeCell ref="F15:F18"/>
    <mergeCell ref="E19:E30"/>
    <mergeCell ref="F19:F30"/>
    <mergeCell ref="E31:E32"/>
    <mergeCell ref="F31:F32"/>
    <mergeCell ref="A5:A51"/>
    <mergeCell ref="B5:B51"/>
    <mergeCell ref="C5:C14"/>
    <mergeCell ref="D5:D14"/>
    <mergeCell ref="E5:E9"/>
    <mergeCell ref="C33:C40"/>
    <mergeCell ref="D33:D40"/>
    <mergeCell ref="E34:E37"/>
    <mergeCell ref="A1:I1"/>
    <mergeCell ref="A3:B3"/>
    <mergeCell ref="C3:D3"/>
    <mergeCell ref="E3:F3"/>
    <mergeCell ref="G3:H3"/>
  </mergeCells>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theme="0"/>
  </sheetPr>
  <dimension ref="A1:I44"/>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36" t="s">
        <v>803</v>
      </c>
      <c r="B3" s="437"/>
      <c r="C3" s="330" t="s">
        <v>804</v>
      </c>
      <c r="D3" s="332"/>
      <c r="E3" s="330" t="s">
        <v>805</v>
      </c>
      <c r="F3" s="332"/>
      <c r="G3" s="330" t="s">
        <v>806</v>
      </c>
      <c r="H3" s="332"/>
    </row>
    <row r="4" spans="1:9" ht="13.95" customHeight="1">
      <c r="A4" s="4" t="s">
        <v>807</v>
      </c>
      <c r="B4" s="5" t="s">
        <v>808</v>
      </c>
      <c r="C4" s="4" t="s">
        <v>807</v>
      </c>
      <c r="D4" s="23" t="s">
        <v>808</v>
      </c>
      <c r="E4" s="23" t="s">
        <v>807</v>
      </c>
      <c r="F4" s="23" t="s">
        <v>808</v>
      </c>
      <c r="G4" s="23" t="s">
        <v>807</v>
      </c>
      <c r="H4" s="23" t="s">
        <v>808</v>
      </c>
    </row>
    <row r="5" spans="1:9" ht="12.45" customHeight="1">
      <c r="A5" s="446"/>
      <c r="B5" s="446"/>
      <c r="C5" s="446"/>
      <c r="D5" s="446"/>
      <c r="E5" s="449"/>
      <c r="F5" s="449"/>
      <c r="G5" s="89">
        <v>438960</v>
      </c>
      <c r="H5" s="6" t="s">
        <v>852</v>
      </c>
    </row>
    <row r="6" spans="1:9" ht="12.45" customHeight="1">
      <c r="A6" s="447"/>
      <c r="B6" s="447"/>
      <c r="C6" s="447"/>
      <c r="D6" s="447"/>
      <c r="E6" s="450"/>
      <c r="F6" s="450"/>
      <c r="G6" s="90">
        <v>438970</v>
      </c>
      <c r="H6" s="91" t="s">
        <v>853</v>
      </c>
    </row>
    <row r="7" spans="1:9" ht="12.45" customHeight="1">
      <c r="A7" s="447"/>
      <c r="B7" s="447"/>
      <c r="C7" s="447"/>
      <c r="D7" s="447"/>
      <c r="E7" s="444">
        <v>44</v>
      </c>
      <c r="F7" s="445" t="s">
        <v>196</v>
      </c>
      <c r="G7" s="90">
        <v>449210</v>
      </c>
      <c r="H7" s="91" t="s">
        <v>854</v>
      </c>
    </row>
    <row r="8" spans="1:9" ht="12.45" customHeight="1">
      <c r="A8" s="447"/>
      <c r="B8" s="447"/>
      <c r="C8" s="447"/>
      <c r="D8" s="447"/>
      <c r="E8" s="439"/>
      <c r="F8" s="441"/>
      <c r="G8" s="90">
        <v>449220</v>
      </c>
      <c r="H8" s="91" t="s">
        <v>855</v>
      </c>
    </row>
    <row r="9" spans="1:9" ht="12.45" customHeight="1">
      <c r="A9" s="447"/>
      <c r="B9" s="447"/>
      <c r="C9" s="447"/>
      <c r="D9" s="447"/>
      <c r="E9" s="442"/>
      <c r="F9" s="443"/>
      <c r="G9" s="90">
        <v>449290</v>
      </c>
      <c r="H9" s="91" t="s">
        <v>856</v>
      </c>
    </row>
    <row r="10" spans="1:9" ht="12.45" customHeight="1">
      <c r="A10" s="447"/>
      <c r="B10" s="447"/>
      <c r="C10" s="447"/>
      <c r="D10" s="447"/>
      <c r="E10" s="444">
        <v>45</v>
      </c>
      <c r="F10" s="445" t="s">
        <v>197</v>
      </c>
      <c r="G10" s="90">
        <v>456200</v>
      </c>
      <c r="H10" s="91" t="s">
        <v>857</v>
      </c>
    </row>
    <row r="11" spans="1:9" ht="12.45" customHeight="1">
      <c r="A11" s="447"/>
      <c r="B11" s="447"/>
      <c r="C11" s="447"/>
      <c r="D11" s="447"/>
      <c r="E11" s="439"/>
      <c r="F11" s="441"/>
      <c r="G11" s="90">
        <v>457710</v>
      </c>
      <c r="H11" s="91" t="s">
        <v>858</v>
      </c>
    </row>
    <row r="12" spans="1:9" ht="12.45" customHeight="1">
      <c r="A12" s="447"/>
      <c r="B12" s="447"/>
      <c r="C12" s="447"/>
      <c r="D12" s="447"/>
      <c r="E12" s="439"/>
      <c r="F12" s="441"/>
      <c r="G12" s="90">
        <v>458610</v>
      </c>
      <c r="H12" s="91" t="s">
        <v>859</v>
      </c>
    </row>
    <row r="13" spans="1:9" ht="12.45" customHeight="1">
      <c r="A13" s="447"/>
      <c r="B13" s="447"/>
      <c r="C13" s="447"/>
      <c r="D13" s="447"/>
      <c r="E13" s="439"/>
      <c r="F13" s="441"/>
      <c r="G13" s="90">
        <v>459240</v>
      </c>
      <c r="H13" s="91" t="s">
        <v>860</v>
      </c>
    </row>
    <row r="14" spans="1:9" ht="24" customHeight="1">
      <c r="A14" s="447"/>
      <c r="B14" s="447"/>
      <c r="C14" s="448"/>
      <c r="D14" s="448"/>
      <c r="E14" s="442"/>
      <c r="F14" s="443"/>
      <c r="G14" s="90">
        <v>459300</v>
      </c>
      <c r="H14" s="95" t="s">
        <v>861</v>
      </c>
    </row>
    <row r="15" spans="1:9" ht="32.25" customHeight="1">
      <c r="A15" s="447"/>
      <c r="B15" s="447"/>
      <c r="C15" s="444">
        <v>5</v>
      </c>
      <c r="D15" s="445" t="s">
        <v>198</v>
      </c>
      <c r="E15" s="97">
        <v>51</v>
      </c>
      <c r="F15" s="91" t="s">
        <v>199</v>
      </c>
      <c r="G15" s="97">
        <v>517210</v>
      </c>
      <c r="H15" s="91" t="s">
        <v>862</v>
      </c>
    </row>
    <row r="16" spans="1:9" ht="12.45" customHeight="1">
      <c r="A16" s="447"/>
      <c r="B16" s="447"/>
      <c r="C16" s="439"/>
      <c r="D16" s="441"/>
      <c r="E16" s="90">
        <v>52</v>
      </c>
      <c r="F16" s="91" t="s">
        <v>200</v>
      </c>
      <c r="G16" s="90">
        <v>527250</v>
      </c>
      <c r="H16" s="91" t="s">
        <v>200</v>
      </c>
    </row>
    <row r="17" spans="1:8" ht="12.45" customHeight="1">
      <c r="A17" s="447"/>
      <c r="B17" s="447"/>
      <c r="C17" s="439"/>
      <c r="D17" s="441"/>
      <c r="E17" s="444">
        <v>53</v>
      </c>
      <c r="F17" s="445" t="s">
        <v>201</v>
      </c>
      <c r="G17" s="90">
        <v>537230</v>
      </c>
      <c r="H17" s="91" t="s">
        <v>863</v>
      </c>
    </row>
    <row r="18" spans="1:8" ht="12.45" customHeight="1">
      <c r="A18" s="447"/>
      <c r="B18" s="447"/>
      <c r="C18" s="439"/>
      <c r="D18" s="441"/>
      <c r="E18" s="442"/>
      <c r="F18" s="443"/>
      <c r="G18" s="90">
        <v>537260</v>
      </c>
      <c r="H18" s="91" t="s">
        <v>864</v>
      </c>
    </row>
    <row r="19" spans="1:8" ht="12.45" customHeight="1">
      <c r="A19" s="447"/>
      <c r="B19" s="447"/>
      <c r="C19" s="439"/>
      <c r="D19" s="441"/>
      <c r="E19" s="444">
        <v>54</v>
      </c>
      <c r="F19" s="445" t="s">
        <v>202</v>
      </c>
      <c r="G19" s="90">
        <v>547270</v>
      </c>
      <c r="H19" s="91" t="s">
        <v>865</v>
      </c>
    </row>
    <row r="20" spans="1:8" ht="22.2" customHeight="1">
      <c r="A20" s="447"/>
      <c r="B20" s="447"/>
      <c r="C20" s="439"/>
      <c r="D20" s="441"/>
      <c r="E20" s="442"/>
      <c r="F20" s="443"/>
      <c r="G20" s="90">
        <v>547280</v>
      </c>
      <c r="H20" s="91" t="s">
        <v>866</v>
      </c>
    </row>
    <row r="21" spans="1:8" ht="12.45" customHeight="1">
      <c r="A21" s="447"/>
      <c r="B21" s="447"/>
      <c r="C21" s="439"/>
      <c r="D21" s="441"/>
      <c r="E21" s="90">
        <v>55</v>
      </c>
      <c r="F21" s="91" t="s">
        <v>203</v>
      </c>
      <c r="G21" s="90">
        <v>557330</v>
      </c>
      <c r="H21" s="91" t="s">
        <v>867</v>
      </c>
    </row>
    <row r="22" spans="1:8" ht="12.45" customHeight="1">
      <c r="A22" s="447"/>
      <c r="B22" s="447"/>
      <c r="C22" s="439"/>
      <c r="D22" s="441"/>
      <c r="E22" s="90">
        <v>56</v>
      </c>
      <c r="F22" s="91" t="s">
        <v>204</v>
      </c>
      <c r="G22" s="90">
        <v>567350</v>
      </c>
      <c r="H22" s="91" t="s">
        <v>204</v>
      </c>
    </row>
    <row r="23" spans="1:8" ht="12.45" customHeight="1">
      <c r="A23" s="447"/>
      <c r="B23" s="447"/>
      <c r="C23" s="439"/>
      <c r="D23" s="441"/>
      <c r="E23" s="444">
        <v>57</v>
      </c>
      <c r="F23" s="445" t="s">
        <v>205</v>
      </c>
      <c r="G23" s="90">
        <v>577220</v>
      </c>
      <c r="H23" s="91" t="s">
        <v>868</v>
      </c>
    </row>
    <row r="24" spans="1:8" ht="12.45" customHeight="1">
      <c r="A24" s="447"/>
      <c r="B24" s="447"/>
      <c r="C24" s="439"/>
      <c r="D24" s="441"/>
      <c r="E24" s="439"/>
      <c r="F24" s="441"/>
      <c r="G24" s="90">
        <v>577240</v>
      </c>
      <c r="H24" s="91" t="s">
        <v>869</v>
      </c>
    </row>
    <row r="25" spans="1:8" ht="22.2" customHeight="1">
      <c r="A25" s="447"/>
      <c r="B25" s="447"/>
      <c r="C25" s="439"/>
      <c r="D25" s="441"/>
      <c r="E25" s="439"/>
      <c r="F25" s="441"/>
      <c r="G25" s="90">
        <v>577290</v>
      </c>
      <c r="H25" s="91" t="s">
        <v>870</v>
      </c>
    </row>
    <row r="26" spans="1:8" ht="12.45" customHeight="1">
      <c r="A26" s="447"/>
      <c r="B26" s="447"/>
      <c r="C26" s="439"/>
      <c r="D26" s="441"/>
      <c r="E26" s="439"/>
      <c r="F26" s="441"/>
      <c r="G26" s="90">
        <v>577300</v>
      </c>
      <c r="H26" s="91" t="s">
        <v>871</v>
      </c>
    </row>
    <row r="27" spans="1:8" ht="12.45" customHeight="1">
      <c r="A27" s="447"/>
      <c r="B27" s="447"/>
      <c r="C27" s="439"/>
      <c r="D27" s="441"/>
      <c r="E27" s="439"/>
      <c r="F27" s="441"/>
      <c r="G27" s="90">
        <v>577310</v>
      </c>
      <c r="H27" s="91" t="s">
        <v>872</v>
      </c>
    </row>
    <row r="28" spans="1:8" ht="22.2" customHeight="1">
      <c r="A28" s="447"/>
      <c r="B28" s="447"/>
      <c r="C28" s="439"/>
      <c r="D28" s="441"/>
      <c r="E28" s="439"/>
      <c r="F28" s="441"/>
      <c r="G28" s="90">
        <v>577340</v>
      </c>
      <c r="H28" s="91" t="s">
        <v>873</v>
      </c>
    </row>
    <row r="29" spans="1:8" ht="12.45" customHeight="1">
      <c r="A29" s="447"/>
      <c r="B29" s="447"/>
      <c r="C29" s="439"/>
      <c r="D29" s="441"/>
      <c r="E29" s="439"/>
      <c r="F29" s="441"/>
      <c r="G29" s="90">
        <v>577360</v>
      </c>
      <c r="H29" s="91" t="s">
        <v>874</v>
      </c>
    </row>
    <row r="30" spans="1:8" ht="12.45" customHeight="1">
      <c r="A30" s="447"/>
      <c r="B30" s="447"/>
      <c r="C30" s="439"/>
      <c r="D30" s="441"/>
      <c r="E30" s="439"/>
      <c r="F30" s="441"/>
      <c r="G30" s="90">
        <v>577390</v>
      </c>
      <c r="H30" s="91" t="s">
        <v>875</v>
      </c>
    </row>
    <row r="31" spans="1:8" ht="34.200000000000003" customHeight="1">
      <c r="A31" s="448"/>
      <c r="B31" s="448"/>
      <c r="C31" s="442"/>
      <c r="D31" s="443"/>
      <c r="E31" s="442"/>
      <c r="F31" s="443"/>
      <c r="G31" s="97">
        <v>577410</v>
      </c>
      <c r="H31" s="95" t="s">
        <v>876</v>
      </c>
    </row>
    <row r="32" spans="1:8" ht="12.45" customHeight="1">
      <c r="A32" s="444">
        <v>2</v>
      </c>
      <c r="B32" s="451" t="s">
        <v>341</v>
      </c>
      <c r="C32" s="444">
        <v>6</v>
      </c>
      <c r="D32" s="445" t="s">
        <v>206</v>
      </c>
      <c r="E32" s="444">
        <v>61</v>
      </c>
      <c r="F32" s="445" t="s">
        <v>207</v>
      </c>
      <c r="G32" s="90">
        <v>617810</v>
      </c>
      <c r="H32" s="91" t="s">
        <v>877</v>
      </c>
    </row>
    <row r="33" spans="1:8" ht="12.45" customHeight="1">
      <c r="A33" s="439"/>
      <c r="B33" s="447"/>
      <c r="C33" s="439"/>
      <c r="D33" s="441"/>
      <c r="E33" s="439"/>
      <c r="F33" s="441"/>
      <c r="G33" s="90">
        <v>617820</v>
      </c>
      <c r="H33" s="91" t="s">
        <v>878</v>
      </c>
    </row>
    <row r="34" spans="1:8" ht="12.45" customHeight="1">
      <c r="A34" s="439"/>
      <c r="B34" s="447"/>
      <c r="C34" s="439"/>
      <c r="D34" s="441"/>
      <c r="E34" s="439"/>
      <c r="F34" s="441"/>
      <c r="G34" s="90">
        <v>617830</v>
      </c>
      <c r="H34" s="91" t="s">
        <v>879</v>
      </c>
    </row>
    <row r="35" spans="1:8" ht="12.45" customHeight="1">
      <c r="A35" s="439"/>
      <c r="B35" s="447"/>
      <c r="C35" s="439"/>
      <c r="D35" s="441"/>
      <c r="E35" s="439"/>
      <c r="F35" s="441"/>
      <c r="G35" s="90">
        <v>617840</v>
      </c>
      <c r="H35" s="91" t="s">
        <v>880</v>
      </c>
    </row>
    <row r="36" spans="1:8" ht="22.2" customHeight="1">
      <c r="A36" s="439"/>
      <c r="B36" s="447"/>
      <c r="C36" s="439"/>
      <c r="D36" s="441"/>
      <c r="E36" s="439"/>
      <c r="F36" s="441"/>
      <c r="G36" s="90">
        <v>617850</v>
      </c>
      <c r="H36" s="91" t="s">
        <v>881</v>
      </c>
    </row>
    <row r="37" spans="1:8" ht="22.2" customHeight="1">
      <c r="A37" s="439"/>
      <c r="B37" s="447"/>
      <c r="C37" s="439"/>
      <c r="D37" s="441"/>
      <c r="E37" s="439"/>
      <c r="F37" s="441"/>
      <c r="G37" s="90">
        <v>617860</v>
      </c>
      <c r="H37" s="91" t="s">
        <v>882</v>
      </c>
    </row>
    <row r="38" spans="1:8" ht="12.45" customHeight="1">
      <c r="A38" s="439"/>
      <c r="B38" s="447"/>
      <c r="C38" s="439"/>
      <c r="D38" s="441"/>
      <c r="E38" s="439"/>
      <c r="F38" s="441"/>
      <c r="G38" s="90">
        <v>617870</v>
      </c>
      <c r="H38" s="91" t="s">
        <v>883</v>
      </c>
    </row>
    <row r="39" spans="1:8" ht="12.45" customHeight="1">
      <c r="A39" s="439"/>
      <c r="B39" s="447"/>
      <c r="C39" s="439"/>
      <c r="D39" s="441"/>
      <c r="E39" s="439"/>
      <c r="F39" s="441"/>
      <c r="G39" s="90">
        <v>617880</v>
      </c>
      <c r="H39" s="91" t="s">
        <v>884</v>
      </c>
    </row>
    <row r="40" spans="1:8" ht="22.2" customHeight="1">
      <c r="A40" s="439"/>
      <c r="B40" s="447"/>
      <c r="C40" s="439"/>
      <c r="D40" s="441"/>
      <c r="E40" s="439"/>
      <c r="F40" s="441"/>
      <c r="G40" s="90">
        <v>617890</v>
      </c>
      <c r="H40" s="91" t="s">
        <v>885</v>
      </c>
    </row>
    <row r="41" spans="1:8" ht="22.2" customHeight="1">
      <c r="A41" s="439"/>
      <c r="B41" s="447"/>
      <c r="C41" s="439"/>
      <c r="D41" s="441"/>
      <c r="E41" s="439"/>
      <c r="F41" s="441"/>
      <c r="G41" s="90">
        <v>617900</v>
      </c>
      <c r="H41" s="91" t="s">
        <v>886</v>
      </c>
    </row>
    <row r="42" spans="1:8" ht="12.45" customHeight="1">
      <c r="A42" s="439"/>
      <c r="B42" s="447"/>
      <c r="C42" s="439"/>
      <c r="D42" s="441"/>
      <c r="E42" s="442"/>
      <c r="F42" s="443"/>
      <c r="G42" s="90">
        <v>617910</v>
      </c>
      <c r="H42" s="91" t="s">
        <v>887</v>
      </c>
    </row>
    <row r="43" spans="1:8" ht="12.45" customHeight="1">
      <c r="A43" s="439"/>
      <c r="B43" s="447"/>
      <c r="C43" s="439"/>
      <c r="D43" s="441"/>
      <c r="E43" s="444">
        <v>62</v>
      </c>
      <c r="F43" s="445" t="s">
        <v>208</v>
      </c>
      <c r="G43" s="90">
        <v>627020</v>
      </c>
      <c r="H43" s="91" t="s">
        <v>888</v>
      </c>
    </row>
    <row r="44" spans="1:8" ht="12.45" customHeight="1">
      <c r="A44" s="439"/>
      <c r="B44" s="447"/>
      <c r="C44" s="439"/>
      <c r="D44" s="441"/>
      <c r="E44" s="439"/>
      <c r="F44" s="441"/>
      <c r="G44" s="90">
        <v>627060</v>
      </c>
      <c r="H44" s="91" t="s">
        <v>889</v>
      </c>
    </row>
  </sheetData>
  <mergeCells count="31">
    <mergeCell ref="F32:F42"/>
    <mergeCell ref="E43:E44"/>
    <mergeCell ref="F43:F44"/>
    <mergeCell ref="A32:A44"/>
    <mergeCell ref="B32:B44"/>
    <mergeCell ref="C32:C44"/>
    <mergeCell ref="D32:D44"/>
    <mergeCell ref="E32:E42"/>
    <mergeCell ref="F17:F18"/>
    <mergeCell ref="E19:E20"/>
    <mergeCell ref="F19:F20"/>
    <mergeCell ref="E23:E31"/>
    <mergeCell ref="F23:F31"/>
    <mergeCell ref="F5:F6"/>
    <mergeCell ref="E7:E9"/>
    <mergeCell ref="F7:F9"/>
    <mergeCell ref="E10:E14"/>
    <mergeCell ref="F10:F14"/>
    <mergeCell ref="A5:A31"/>
    <mergeCell ref="B5:B31"/>
    <mergeCell ref="C5:C14"/>
    <mergeCell ref="D5:D14"/>
    <mergeCell ref="E5:E6"/>
    <mergeCell ref="C15:C31"/>
    <mergeCell ref="D15:D31"/>
    <mergeCell ref="E17:E18"/>
    <mergeCell ref="A1:I1"/>
    <mergeCell ref="A3:B3"/>
    <mergeCell ref="C3:D3"/>
    <mergeCell ref="E3:F3"/>
    <mergeCell ref="G3:H3"/>
  </mergeCell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theme="0"/>
  </sheetPr>
  <dimension ref="A1:I50"/>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39" customHeight="1">
      <c r="A1" s="420" t="s">
        <v>802</v>
      </c>
      <c r="B1" s="420"/>
      <c r="C1" s="420"/>
      <c r="D1" s="420"/>
      <c r="E1" s="420"/>
      <c r="F1" s="420"/>
      <c r="G1" s="420"/>
      <c r="H1" s="420"/>
      <c r="I1" s="420"/>
    </row>
    <row r="2" spans="1:9" ht="1.95" customHeight="1"/>
    <row r="3" spans="1:9" ht="13.95" customHeight="1">
      <c r="A3" s="436" t="s">
        <v>803</v>
      </c>
      <c r="B3" s="437"/>
      <c r="C3" s="330" t="s">
        <v>804</v>
      </c>
      <c r="D3" s="332"/>
      <c r="E3" s="330" t="s">
        <v>805</v>
      </c>
      <c r="F3" s="332"/>
      <c r="G3" s="330" t="s">
        <v>806</v>
      </c>
      <c r="H3" s="332"/>
    </row>
    <row r="4" spans="1:9" ht="13.95" customHeight="1">
      <c r="A4" s="4" t="s">
        <v>807</v>
      </c>
      <c r="B4" s="5" t="s">
        <v>808</v>
      </c>
      <c r="C4" s="4" t="s">
        <v>807</v>
      </c>
      <c r="D4" s="23" t="s">
        <v>808</v>
      </c>
      <c r="E4" s="4" t="s">
        <v>807</v>
      </c>
      <c r="F4" s="23" t="s">
        <v>808</v>
      </c>
      <c r="G4" s="23" t="s">
        <v>807</v>
      </c>
      <c r="H4" s="23" t="s">
        <v>808</v>
      </c>
    </row>
    <row r="5" spans="1:9" ht="12.45" customHeight="1">
      <c r="A5" s="446"/>
      <c r="B5" s="446"/>
      <c r="C5" s="446"/>
      <c r="D5" s="446"/>
      <c r="E5" s="449"/>
      <c r="F5" s="449"/>
      <c r="G5" s="89">
        <v>627090</v>
      </c>
      <c r="H5" s="6" t="s">
        <v>890</v>
      </c>
    </row>
    <row r="6" spans="1:9" ht="12.45" customHeight="1">
      <c r="A6" s="447"/>
      <c r="B6" s="447"/>
      <c r="C6" s="447"/>
      <c r="D6" s="447"/>
      <c r="E6" s="450"/>
      <c r="F6" s="450"/>
      <c r="G6" s="90">
        <v>627120</v>
      </c>
      <c r="H6" s="91" t="s">
        <v>891</v>
      </c>
    </row>
    <row r="7" spans="1:9" ht="12.45" customHeight="1">
      <c r="A7" s="447"/>
      <c r="B7" s="447"/>
      <c r="C7" s="447"/>
      <c r="D7" s="447"/>
      <c r="E7" s="444">
        <v>63</v>
      </c>
      <c r="F7" s="445" t="s">
        <v>209</v>
      </c>
      <c r="G7" s="90">
        <v>636720</v>
      </c>
      <c r="H7" s="91" t="s">
        <v>892</v>
      </c>
    </row>
    <row r="8" spans="1:9" ht="12.45" customHeight="1">
      <c r="A8" s="447"/>
      <c r="B8" s="447"/>
      <c r="C8" s="447"/>
      <c r="D8" s="447"/>
      <c r="E8" s="439"/>
      <c r="F8" s="441"/>
      <c r="G8" s="90">
        <v>636750</v>
      </c>
      <c r="H8" s="91" t="s">
        <v>893</v>
      </c>
    </row>
    <row r="9" spans="1:9" ht="12.45" customHeight="1">
      <c r="A9" s="447"/>
      <c r="B9" s="447"/>
      <c r="C9" s="447"/>
      <c r="D9" s="447"/>
      <c r="E9" s="439"/>
      <c r="F9" s="441"/>
      <c r="G9" s="90">
        <v>637510</v>
      </c>
      <c r="H9" s="91" t="s">
        <v>894</v>
      </c>
    </row>
    <row r="10" spans="1:9" ht="12.45" customHeight="1">
      <c r="A10" s="447"/>
      <c r="B10" s="447"/>
      <c r="C10" s="447"/>
      <c r="D10" s="447"/>
      <c r="E10" s="439"/>
      <c r="F10" s="441"/>
      <c r="G10" s="90">
        <v>637520</v>
      </c>
      <c r="H10" s="91" t="s">
        <v>895</v>
      </c>
    </row>
    <row r="11" spans="1:9" ht="22.2" customHeight="1">
      <c r="A11" s="447"/>
      <c r="B11" s="447"/>
      <c r="C11" s="447"/>
      <c r="D11" s="447"/>
      <c r="E11" s="439"/>
      <c r="F11" s="441"/>
      <c r="G11" s="90">
        <v>637530</v>
      </c>
      <c r="H11" s="91" t="s">
        <v>896</v>
      </c>
    </row>
    <row r="12" spans="1:9" ht="12.45" customHeight="1">
      <c r="A12" s="447"/>
      <c r="B12" s="447"/>
      <c r="C12" s="447"/>
      <c r="D12" s="447"/>
      <c r="E12" s="442"/>
      <c r="F12" s="443"/>
      <c r="G12" s="90">
        <v>637540</v>
      </c>
      <c r="H12" s="91" t="s">
        <v>897</v>
      </c>
    </row>
    <row r="13" spans="1:9" ht="12.45" customHeight="1">
      <c r="A13" s="447"/>
      <c r="B13" s="447"/>
      <c r="C13" s="447"/>
      <c r="D13" s="447"/>
      <c r="E13" s="444">
        <v>64</v>
      </c>
      <c r="F13" s="445" t="s">
        <v>898</v>
      </c>
      <c r="G13" s="90">
        <v>646100</v>
      </c>
      <c r="H13" s="91" t="s">
        <v>899</v>
      </c>
    </row>
    <row r="14" spans="1:9" ht="12.45" customHeight="1">
      <c r="A14" s="448"/>
      <c r="B14" s="448"/>
      <c r="C14" s="448"/>
      <c r="D14" s="448"/>
      <c r="E14" s="442"/>
      <c r="F14" s="443"/>
      <c r="G14" s="90">
        <v>646520</v>
      </c>
      <c r="H14" s="91" t="s">
        <v>900</v>
      </c>
    </row>
    <row r="15" spans="1:9" ht="12.45" customHeight="1">
      <c r="A15" s="444">
        <v>3</v>
      </c>
      <c r="B15" s="445" t="s">
        <v>211</v>
      </c>
      <c r="C15" s="444">
        <v>7</v>
      </c>
      <c r="D15" s="445" t="s">
        <v>211</v>
      </c>
      <c r="E15" s="444">
        <v>71</v>
      </c>
      <c r="F15" s="445" t="s">
        <v>212</v>
      </c>
      <c r="G15" s="90">
        <v>716020</v>
      </c>
      <c r="H15" s="91" t="s">
        <v>901</v>
      </c>
    </row>
    <row r="16" spans="1:9" ht="12.45" customHeight="1">
      <c r="A16" s="439"/>
      <c r="B16" s="441"/>
      <c r="C16" s="439"/>
      <c r="D16" s="441"/>
      <c r="E16" s="439"/>
      <c r="F16" s="441"/>
      <c r="G16" s="90">
        <v>716510</v>
      </c>
      <c r="H16" s="91" t="s">
        <v>902</v>
      </c>
    </row>
    <row r="17" spans="1:8" ht="12.45" customHeight="1">
      <c r="A17" s="439"/>
      <c r="B17" s="441"/>
      <c r="C17" s="439"/>
      <c r="D17" s="441"/>
      <c r="E17" s="439"/>
      <c r="F17" s="441"/>
      <c r="G17" s="90">
        <v>716530</v>
      </c>
      <c r="H17" s="91" t="s">
        <v>903</v>
      </c>
    </row>
    <row r="18" spans="1:8" ht="12.45" customHeight="1">
      <c r="A18" s="439"/>
      <c r="B18" s="441"/>
      <c r="C18" s="439"/>
      <c r="D18" s="441"/>
      <c r="E18" s="439"/>
      <c r="F18" s="441"/>
      <c r="G18" s="90">
        <v>716540</v>
      </c>
      <c r="H18" s="91" t="s">
        <v>904</v>
      </c>
    </row>
    <row r="19" spans="1:8" ht="12.45" customHeight="1">
      <c r="A19" s="439"/>
      <c r="B19" s="441"/>
      <c r="C19" s="439"/>
      <c r="D19" s="441"/>
      <c r="E19" s="439"/>
      <c r="F19" s="441"/>
      <c r="G19" s="90">
        <v>716550</v>
      </c>
      <c r="H19" s="91" t="s">
        <v>905</v>
      </c>
    </row>
    <row r="20" spans="1:8" ht="12.45" customHeight="1">
      <c r="A20" s="439"/>
      <c r="B20" s="441"/>
      <c r="C20" s="439"/>
      <c r="D20" s="441"/>
      <c r="E20" s="439"/>
      <c r="F20" s="441"/>
      <c r="G20" s="90">
        <v>716570</v>
      </c>
      <c r="H20" s="91" t="s">
        <v>906</v>
      </c>
    </row>
    <row r="21" spans="1:8" ht="22.2" customHeight="1">
      <c r="A21" s="439"/>
      <c r="B21" s="441"/>
      <c r="C21" s="439"/>
      <c r="D21" s="441"/>
      <c r="E21" s="442"/>
      <c r="F21" s="443"/>
      <c r="G21" s="90">
        <v>716590</v>
      </c>
      <c r="H21" s="91" t="s">
        <v>907</v>
      </c>
    </row>
    <row r="22" spans="1:8" ht="12.45" customHeight="1">
      <c r="A22" s="439"/>
      <c r="B22" s="441"/>
      <c r="C22" s="439"/>
      <c r="D22" s="441"/>
      <c r="E22" s="444">
        <v>72</v>
      </c>
      <c r="F22" s="445" t="s">
        <v>213</v>
      </c>
      <c r="G22" s="90">
        <v>727010</v>
      </c>
      <c r="H22" s="91" t="s">
        <v>908</v>
      </c>
    </row>
    <row r="23" spans="1:8" ht="12.45" customHeight="1">
      <c r="A23" s="439"/>
      <c r="B23" s="441"/>
      <c r="C23" s="439"/>
      <c r="D23" s="441"/>
      <c r="E23" s="439"/>
      <c r="F23" s="441"/>
      <c r="G23" s="90">
        <v>727030</v>
      </c>
      <c r="H23" s="91" t="s">
        <v>909</v>
      </c>
    </row>
    <row r="24" spans="1:8" ht="12.45" customHeight="1">
      <c r="A24" s="439"/>
      <c r="B24" s="441"/>
      <c r="C24" s="439"/>
      <c r="D24" s="441"/>
      <c r="E24" s="439"/>
      <c r="F24" s="441"/>
      <c r="G24" s="90">
        <v>727050</v>
      </c>
      <c r="H24" s="91" t="s">
        <v>910</v>
      </c>
    </row>
    <row r="25" spans="1:8" ht="12.45" customHeight="1">
      <c r="A25" s="439"/>
      <c r="B25" s="441"/>
      <c r="C25" s="439"/>
      <c r="D25" s="441"/>
      <c r="E25" s="439"/>
      <c r="F25" s="441"/>
      <c r="G25" s="90">
        <v>727070</v>
      </c>
      <c r="H25" s="91" t="s">
        <v>911</v>
      </c>
    </row>
    <row r="26" spans="1:8" ht="22.2" customHeight="1">
      <c r="A26" s="439"/>
      <c r="B26" s="441"/>
      <c r="C26" s="439"/>
      <c r="D26" s="441"/>
      <c r="E26" s="439"/>
      <c r="F26" s="441"/>
      <c r="G26" s="90">
        <v>727080</v>
      </c>
      <c r="H26" s="91" t="s">
        <v>912</v>
      </c>
    </row>
    <row r="27" spans="1:8" ht="12.45" customHeight="1">
      <c r="A27" s="439"/>
      <c r="B27" s="441"/>
      <c r="C27" s="439"/>
      <c r="D27" s="441"/>
      <c r="E27" s="439"/>
      <c r="F27" s="441"/>
      <c r="G27" s="90">
        <v>727100</v>
      </c>
      <c r="H27" s="91" t="s">
        <v>913</v>
      </c>
    </row>
    <row r="28" spans="1:8" ht="12.45" customHeight="1">
      <c r="A28" s="439"/>
      <c r="B28" s="441"/>
      <c r="C28" s="439"/>
      <c r="D28" s="441"/>
      <c r="E28" s="439"/>
      <c r="F28" s="441"/>
      <c r="G28" s="90">
        <v>727110</v>
      </c>
      <c r="H28" s="91" t="s">
        <v>914</v>
      </c>
    </row>
    <row r="29" spans="1:8" ht="12.45" customHeight="1">
      <c r="A29" s="439"/>
      <c r="B29" s="441"/>
      <c r="C29" s="439"/>
      <c r="D29" s="441"/>
      <c r="E29" s="442"/>
      <c r="F29" s="443"/>
      <c r="G29" s="90">
        <v>727130</v>
      </c>
      <c r="H29" s="91" t="s">
        <v>915</v>
      </c>
    </row>
    <row r="30" spans="1:8" ht="12.45" customHeight="1">
      <c r="A30" s="439"/>
      <c r="B30" s="441"/>
      <c r="C30" s="439"/>
      <c r="D30" s="441"/>
      <c r="E30" s="444">
        <v>73</v>
      </c>
      <c r="F30" s="445" t="s">
        <v>214</v>
      </c>
      <c r="G30" s="90">
        <v>738620</v>
      </c>
      <c r="H30" s="91" t="s">
        <v>916</v>
      </c>
    </row>
    <row r="31" spans="1:8" ht="12.45" customHeight="1">
      <c r="A31" s="439"/>
      <c r="B31" s="441"/>
      <c r="C31" s="439"/>
      <c r="D31" s="441"/>
      <c r="E31" s="442"/>
      <c r="F31" s="443"/>
      <c r="G31" s="90">
        <v>739100</v>
      </c>
      <c r="H31" s="91" t="s">
        <v>917</v>
      </c>
    </row>
    <row r="32" spans="1:8" ht="22.2" customHeight="1">
      <c r="A32" s="439"/>
      <c r="B32" s="441"/>
      <c r="C32" s="439"/>
      <c r="D32" s="441"/>
      <c r="E32" s="444">
        <v>74</v>
      </c>
      <c r="F32" s="445" t="s">
        <v>215</v>
      </c>
      <c r="G32" s="90">
        <v>746560</v>
      </c>
      <c r="H32" s="91" t="s">
        <v>918</v>
      </c>
    </row>
    <row r="33" spans="1:8" ht="12.45" customHeight="1">
      <c r="A33" s="439"/>
      <c r="B33" s="441"/>
      <c r="C33" s="439"/>
      <c r="D33" s="441"/>
      <c r="E33" s="442"/>
      <c r="F33" s="443"/>
      <c r="G33" s="90">
        <v>746580</v>
      </c>
      <c r="H33" s="91" t="s">
        <v>919</v>
      </c>
    </row>
    <row r="34" spans="1:8" ht="12.45" customHeight="1">
      <c r="A34" s="439"/>
      <c r="B34" s="441"/>
      <c r="C34" s="439"/>
      <c r="D34" s="441"/>
      <c r="E34" s="444">
        <v>75</v>
      </c>
      <c r="F34" s="445" t="s">
        <v>216</v>
      </c>
      <c r="G34" s="90">
        <v>757600</v>
      </c>
      <c r="H34" s="91" t="s">
        <v>920</v>
      </c>
    </row>
    <row r="35" spans="1:8" ht="12.45" customHeight="1">
      <c r="A35" s="439"/>
      <c r="B35" s="441"/>
      <c r="C35" s="439"/>
      <c r="D35" s="441"/>
      <c r="E35" s="439"/>
      <c r="F35" s="441"/>
      <c r="G35" s="90">
        <v>757720</v>
      </c>
      <c r="H35" s="91" t="s">
        <v>921</v>
      </c>
    </row>
    <row r="36" spans="1:8" ht="12.45" customHeight="1">
      <c r="A36" s="439"/>
      <c r="B36" s="441"/>
      <c r="C36" s="439"/>
      <c r="D36" s="441"/>
      <c r="E36" s="439"/>
      <c r="F36" s="441"/>
      <c r="G36" s="90">
        <v>758200</v>
      </c>
      <c r="H36" s="91" t="s">
        <v>922</v>
      </c>
    </row>
    <row r="37" spans="1:8" ht="12.45" customHeight="1">
      <c r="A37" s="439"/>
      <c r="B37" s="441"/>
      <c r="C37" s="439"/>
      <c r="D37" s="441"/>
      <c r="E37" s="439"/>
      <c r="F37" s="441"/>
      <c r="G37" s="90">
        <v>759260</v>
      </c>
      <c r="H37" s="91" t="s">
        <v>923</v>
      </c>
    </row>
    <row r="38" spans="1:8" ht="12.45" customHeight="1">
      <c r="A38" s="439"/>
      <c r="B38" s="441"/>
      <c r="C38" s="439"/>
      <c r="D38" s="441"/>
      <c r="E38" s="439"/>
      <c r="F38" s="441"/>
      <c r="G38" s="90">
        <v>759410</v>
      </c>
      <c r="H38" s="91" t="s">
        <v>924</v>
      </c>
    </row>
    <row r="39" spans="1:8" ht="12.45" customHeight="1">
      <c r="A39" s="439"/>
      <c r="B39" s="441"/>
      <c r="C39" s="439"/>
      <c r="D39" s="441"/>
      <c r="E39" s="439"/>
      <c r="F39" s="441"/>
      <c r="G39" s="90">
        <v>759420</v>
      </c>
      <c r="H39" s="91" t="s">
        <v>925</v>
      </c>
    </row>
    <row r="40" spans="1:8" ht="12.45" customHeight="1">
      <c r="A40" s="439"/>
      <c r="B40" s="441"/>
      <c r="C40" s="439"/>
      <c r="D40" s="441"/>
      <c r="E40" s="439"/>
      <c r="F40" s="441"/>
      <c r="G40" s="90">
        <v>759430</v>
      </c>
      <c r="H40" s="91" t="s">
        <v>926</v>
      </c>
    </row>
    <row r="41" spans="1:8" ht="12.45" customHeight="1">
      <c r="A41" s="439"/>
      <c r="B41" s="441"/>
      <c r="C41" s="439"/>
      <c r="D41" s="441"/>
      <c r="E41" s="442"/>
      <c r="F41" s="443"/>
      <c r="G41" s="90">
        <v>759440</v>
      </c>
      <c r="H41" s="91" t="s">
        <v>927</v>
      </c>
    </row>
    <row r="42" spans="1:8" ht="12.45" customHeight="1">
      <c r="A42" s="439"/>
      <c r="B42" s="441"/>
      <c r="C42" s="439"/>
      <c r="D42" s="441"/>
      <c r="E42" s="444">
        <v>76</v>
      </c>
      <c r="F42" s="445" t="s">
        <v>217</v>
      </c>
      <c r="G42" s="90">
        <v>766610</v>
      </c>
      <c r="H42" s="91" t="s">
        <v>928</v>
      </c>
    </row>
    <row r="43" spans="1:8" ht="12.45" customHeight="1">
      <c r="A43" s="439"/>
      <c r="B43" s="441"/>
      <c r="C43" s="439"/>
      <c r="D43" s="441"/>
      <c r="E43" s="439"/>
      <c r="F43" s="441"/>
      <c r="G43" s="90">
        <v>766620</v>
      </c>
      <c r="H43" s="91" t="s">
        <v>929</v>
      </c>
    </row>
    <row r="44" spans="1:8" ht="12.45" customHeight="1">
      <c r="A44" s="439"/>
      <c r="B44" s="441"/>
      <c r="C44" s="439"/>
      <c r="D44" s="441"/>
      <c r="E44" s="439"/>
      <c r="F44" s="441"/>
      <c r="G44" s="90">
        <v>766630</v>
      </c>
      <c r="H44" s="91" t="s">
        <v>930</v>
      </c>
    </row>
    <row r="45" spans="1:8" ht="12.45" customHeight="1">
      <c r="A45" s="439"/>
      <c r="B45" s="441"/>
      <c r="C45" s="439"/>
      <c r="D45" s="441"/>
      <c r="E45" s="439"/>
      <c r="F45" s="441"/>
      <c r="G45" s="90">
        <v>766820</v>
      </c>
      <c r="H45" s="91" t="s">
        <v>931</v>
      </c>
    </row>
    <row r="46" spans="1:8" ht="12.45" customHeight="1">
      <c r="A46" s="439"/>
      <c r="B46" s="441"/>
      <c r="C46" s="439"/>
      <c r="D46" s="441"/>
      <c r="E46" s="439"/>
      <c r="F46" s="441"/>
      <c r="G46" s="90">
        <v>766900</v>
      </c>
      <c r="H46" s="91" t="s">
        <v>932</v>
      </c>
    </row>
    <row r="47" spans="1:8" ht="12.45" customHeight="1">
      <c r="A47" s="439"/>
      <c r="B47" s="441"/>
      <c r="C47" s="439"/>
      <c r="D47" s="441"/>
      <c r="E47" s="439"/>
      <c r="F47" s="441"/>
      <c r="G47" s="90">
        <v>768000</v>
      </c>
      <c r="H47" s="91" t="s">
        <v>933</v>
      </c>
    </row>
    <row r="48" spans="1:8" ht="12.45" customHeight="1">
      <c r="A48" s="439"/>
      <c r="B48" s="441"/>
      <c r="C48" s="439"/>
      <c r="D48" s="441"/>
      <c r="E48" s="439"/>
      <c r="F48" s="441"/>
      <c r="G48" s="90">
        <v>768100</v>
      </c>
      <c r="H48" s="91" t="s">
        <v>934</v>
      </c>
    </row>
    <row r="49" spans="1:8" ht="12.45" customHeight="1">
      <c r="A49" s="439"/>
      <c r="B49" s="441"/>
      <c r="C49" s="439"/>
      <c r="D49" s="441"/>
      <c r="E49" s="439"/>
      <c r="F49" s="441"/>
      <c r="G49" s="90">
        <v>768300</v>
      </c>
      <c r="H49" s="91" t="s">
        <v>935</v>
      </c>
    </row>
    <row r="50" spans="1:8" ht="22.2" customHeight="1">
      <c r="A50" s="439"/>
      <c r="B50" s="441"/>
      <c r="C50" s="439"/>
      <c r="D50" s="441"/>
      <c r="E50" s="439"/>
      <c r="F50" s="441"/>
      <c r="G50" s="90">
        <v>768500</v>
      </c>
      <c r="H50" s="91" t="s">
        <v>936</v>
      </c>
    </row>
  </sheetData>
  <mergeCells count="31">
    <mergeCell ref="F32:F33"/>
    <mergeCell ref="E34:E41"/>
    <mergeCell ref="F34:F41"/>
    <mergeCell ref="E42:E50"/>
    <mergeCell ref="F42:F50"/>
    <mergeCell ref="F15:F21"/>
    <mergeCell ref="E22:E29"/>
    <mergeCell ref="F22:F29"/>
    <mergeCell ref="E30:E31"/>
    <mergeCell ref="F30:F31"/>
    <mergeCell ref="A15:A50"/>
    <mergeCell ref="B15:B50"/>
    <mergeCell ref="C15:C50"/>
    <mergeCell ref="D15:D50"/>
    <mergeCell ref="E15:E21"/>
    <mergeCell ref="E32:E33"/>
    <mergeCell ref="F5:F6"/>
    <mergeCell ref="E7:E12"/>
    <mergeCell ref="F7:F12"/>
    <mergeCell ref="E13:E14"/>
    <mergeCell ref="F13:F14"/>
    <mergeCell ref="A5:A14"/>
    <mergeCell ref="B5:B14"/>
    <mergeCell ref="C5:C14"/>
    <mergeCell ref="D5:D14"/>
    <mergeCell ref="E5:E6"/>
    <mergeCell ref="A1:I1"/>
    <mergeCell ref="A3:B3"/>
    <mergeCell ref="C3:D3"/>
    <mergeCell ref="E3:F3"/>
    <mergeCell ref="G3:H3"/>
  </mergeCells>
  <pageMargins left="0.7" right="0.7" top="0.75" bottom="0.75" header="0.3" footer="0.3"/>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theme="0"/>
  </sheetPr>
  <dimension ref="A1:I8"/>
  <sheetViews>
    <sheetView workbookViewId="0">
      <selection sqref="A1:I1"/>
    </sheetView>
  </sheetViews>
  <sheetFormatPr defaultRowHeight="13.2"/>
  <cols>
    <col min="1" max="1" width="5.44140625" customWidth="1"/>
    <col min="2" max="2" width="9.77734375" customWidth="1"/>
    <col min="3" max="3" width="5.44140625" customWidth="1"/>
    <col min="4" max="4" width="25.77734375" customWidth="1"/>
    <col min="5" max="5" width="5.44140625" customWidth="1"/>
    <col min="6" max="6" width="25.77734375" customWidth="1"/>
    <col min="7" max="7" width="8" customWidth="1"/>
    <col min="8" max="8" width="39.109375" customWidth="1"/>
    <col min="9" max="9" width="2.77734375" customWidth="1"/>
  </cols>
  <sheetData>
    <row r="1" spans="1:9" ht="42.75" customHeight="1">
      <c r="A1" s="420" t="s">
        <v>802</v>
      </c>
      <c r="B1" s="420"/>
      <c r="C1" s="420"/>
      <c r="D1" s="420"/>
      <c r="E1" s="420"/>
      <c r="F1" s="420"/>
      <c r="G1" s="420"/>
      <c r="H1" s="420"/>
      <c r="I1" s="420"/>
    </row>
    <row r="2" spans="1:9" ht="13.95" customHeight="1">
      <c r="A2" s="436" t="s">
        <v>803</v>
      </c>
      <c r="B2" s="437"/>
      <c r="C2" s="330" t="s">
        <v>804</v>
      </c>
      <c r="D2" s="332"/>
      <c r="E2" s="330" t="s">
        <v>805</v>
      </c>
      <c r="F2" s="332"/>
      <c r="G2" s="330" t="s">
        <v>806</v>
      </c>
      <c r="H2" s="332"/>
    </row>
    <row r="3" spans="1:9" ht="13.95" customHeight="1">
      <c r="A3" s="4" t="s">
        <v>807</v>
      </c>
      <c r="B3" s="5" t="s">
        <v>808</v>
      </c>
      <c r="C3" s="4" t="s">
        <v>807</v>
      </c>
      <c r="D3" s="23" t="s">
        <v>808</v>
      </c>
      <c r="E3" s="4" t="s">
        <v>807</v>
      </c>
      <c r="F3" s="23" t="s">
        <v>808</v>
      </c>
      <c r="G3" s="23" t="s">
        <v>807</v>
      </c>
      <c r="H3" s="23" t="s">
        <v>808</v>
      </c>
    </row>
    <row r="4" spans="1:9" ht="12.45" customHeight="1">
      <c r="A4" s="446"/>
      <c r="B4" s="446"/>
      <c r="C4" s="446"/>
      <c r="D4" s="446"/>
      <c r="E4" s="446"/>
      <c r="F4" s="446"/>
      <c r="G4" s="89">
        <v>769010</v>
      </c>
      <c r="H4" s="6" t="s">
        <v>937</v>
      </c>
    </row>
    <row r="5" spans="1:9" ht="12.45" customHeight="1">
      <c r="A5" s="447"/>
      <c r="B5" s="447"/>
      <c r="C5" s="447"/>
      <c r="D5" s="447"/>
      <c r="E5" s="447"/>
      <c r="F5" s="447"/>
      <c r="G5" s="90">
        <v>769030</v>
      </c>
      <c r="H5" s="91" t="s">
        <v>938</v>
      </c>
    </row>
    <row r="6" spans="1:9" ht="12.45" customHeight="1">
      <c r="A6" s="452"/>
      <c r="B6" s="452"/>
      <c r="C6" s="452"/>
      <c r="D6" s="452"/>
      <c r="E6" s="452"/>
      <c r="F6" s="452"/>
      <c r="G6" s="98">
        <v>769950</v>
      </c>
      <c r="H6" s="99" t="s">
        <v>939</v>
      </c>
    </row>
    <row r="7" spans="1:9" ht="100.95" customHeight="1">
      <c r="A7" s="420" t="s">
        <v>940</v>
      </c>
      <c r="B7" s="420"/>
      <c r="C7" s="420"/>
      <c r="D7" s="420"/>
      <c r="E7" s="420"/>
      <c r="F7" s="420"/>
      <c r="G7" s="420"/>
      <c r="H7" s="420"/>
      <c r="I7" s="420"/>
    </row>
    <row r="8" spans="1:9" ht="1.95" customHeight="1"/>
  </sheetData>
  <mergeCells count="12">
    <mergeCell ref="F4:F6"/>
    <mergeCell ref="A7:I7"/>
    <mergeCell ref="A4:A6"/>
    <mergeCell ref="B4:B6"/>
    <mergeCell ref="C4:C6"/>
    <mergeCell ref="D4:D6"/>
    <mergeCell ref="E4:E6"/>
    <mergeCell ref="A1:I1"/>
    <mergeCell ref="A2:B2"/>
    <mergeCell ref="C2:D2"/>
    <mergeCell ref="E2:F2"/>
    <mergeCell ref="G2:H2"/>
  </mergeCells>
  <pageMargins left="0.7" right="0.7" top="0.75" bottom="0.75" header="0.3" footer="0.3"/>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theme="0"/>
  </sheetPr>
  <dimension ref="A1:I41"/>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36" t="s">
        <v>942</v>
      </c>
      <c r="B3" s="437"/>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22.5" customHeight="1">
      <c r="A5" s="438">
        <v>1</v>
      </c>
      <c r="B5" s="440" t="s">
        <v>174</v>
      </c>
      <c r="C5" s="438">
        <v>1</v>
      </c>
      <c r="D5" s="440" t="s">
        <v>228</v>
      </c>
      <c r="E5" s="438">
        <v>11</v>
      </c>
      <c r="F5" s="440" t="s">
        <v>347</v>
      </c>
      <c r="G5" s="89">
        <v>110510</v>
      </c>
      <c r="H5" s="6" t="s">
        <v>946</v>
      </c>
    </row>
    <row r="6" spans="1:9" ht="12.45" customHeight="1">
      <c r="A6" s="439"/>
      <c r="B6" s="441"/>
      <c r="C6" s="439"/>
      <c r="D6" s="441"/>
      <c r="E6" s="439"/>
      <c r="F6" s="441"/>
      <c r="G6" s="90">
        <v>110520</v>
      </c>
      <c r="H6" s="91" t="s">
        <v>947</v>
      </c>
    </row>
    <row r="7" spans="1:9" ht="12.45" customHeight="1">
      <c r="A7" s="439"/>
      <c r="B7" s="441"/>
      <c r="C7" s="439"/>
      <c r="D7" s="441"/>
      <c r="E7" s="439"/>
      <c r="F7" s="441"/>
      <c r="G7" s="90">
        <v>110540</v>
      </c>
      <c r="H7" s="91" t="s">
        <v>948</v>
      </c>
    </row>
    <row r="8" spans="1:9" ht="12.45" customHeight="1">
      <c r="A8" s="439"/>
      <c r="B8" s="441"/>
      <c r="C8" s="439"/>
      <c r="D8" s="441"/>
      <c r="E8" s="439"/>
      <c r="F8" s="441"/>
      <c r="G8" s="90">
        <v>110550</v>
      </c>
      <c r="H8" s="91" t="s">
        <v>949</v>
      </c>
    </row>
    <row r="9" spans="1:9" ht="12.45" customHeight="1">
      <c r="A9" s="439"/>
      <c r="B9" s="441"/>
      <c r="C9" s="439"/>
      <c r="D9" s="441"/>
      <c r="E9" s="439"/>
      <c r="F9" s="441"/>
      <c r="G9" s="90">
        <v>110560</v>
      </c>
      <c r="H9" s="91" t="s">
        <v>950</v>
      </c>
    </row>
    <row r="10" spans="1:9" ht="12.45" customHeight="1">
      <c r="A10" s="439"/>
      <c r="B10" s="441"/>
      <c r="C10" s="439"/>
      <c r="D10" s="441"/>
      <c r="E10" s="439"/>
      <c r="F10" s="441"/>
      <c r="G10" s="90">
        <v>110570</v>
      </c>
      <c r="H10" s="91" t="s">
        <v>951</v>
      </c>
    </row>
    <row r="11" spans="1:9" ht="22.2" customHeight="1">
      <c r="A11" s="439"/>
      <c r="B11" s="441"/>
      <c r="C11" s="439"/>
      <c r="D11" s="441"/>
      <c r="E11" s="439"/>
      <c r="F11" s="441"/>
      <c r="G11" s="90">
        <v>110580</v>
      </c>
      <c r="H11" s="91" t="s">
        <v>952</v>
      </c>
    </row>
    <row r="12" spans="1:9" ht="22.2" customHeight="1">
      <c r="A12" s="439"/>
      <c r="B12" s="441"/>
      <c r="C12" s="439"/>
      <c r="D12" s="441"/>
      <c r="E12" s="439"/>
      <c r="F12" s="441"/>
      <c r="G12" s="90">
        <v>110590</v>
      </c>
      <c r="H12" s="91" t="s">
        <v>953</v>
      </c>
    </row>
    <row r="13" spans="1:9" ht="12.45" customHeight="1">
      <c r="A13" s="439"/>
      <c r="B13" s="441"/>
      <c r="C13" s="439"/>
      <c r="D13" s="441"/>
      <c r="E13" s="439"/>
      <c r="F13" s="441"/>
      <c r="G13" s="90">
        <v>110600</v>
      </c>
      <c r="H13" s="91" t="s">
        <v>954</v>
      </c>
    </row>
    <row r="14" spans="1:9" ht="22.2" customHeight="1">
      <c r="A14" s="439"/>
      <c r="B14" s="441"/>
      <c r="C14" s="439"/>
      <c r="D14" s="441"/>
      <c r="E14" s="439"/>
      <c r="F14" s="441"/>
      <c r="G14" s="90">
        <v>110610</v>
      </c>
      <c r="H14" s="91" t="s">
        <v>955</v>
      </c>
    </row>
    <row r="15" spans="1:9" ht="12.45" customHeight="1">
      <c r="A15" s="439"/>
      <c r="B15" s="441"/>
      <c r="C15" s="439"/>
      <c r="D15" s="441"/>
      <c r="E15" s="442"/>
      <c r="F15" s="443"/>
      <c r="G15" s="90">
        <v>110880</v>
      </c>
      <c r="H15" s="91" t="s">
        <v>956</v>
      </c>
    </row>
    <row r="16" spans="1:9" ht="12.45" customHeight="1">
      <c r="A16" s="439"/>
      <c r="B16" s="441"/>
      <c r="C16" s="439"/>
      <c r="D16" s="441"/>
      <c r="E16" s="444">
        <v>12</v>
      </c>
      <c r="F16" s="445" t="s">
        <v>348</v>
      </c>
      <c r="G16" s="90">
        <v>121720</v>
      </c>
      <c r="H16" s="91" t="s">
        <v>957</v>
      </c>
    </row>
    <row r="17" spans="1:8" ht="22.2" customHeight="1">
      <c r="A17" s="439"/>
      <c r="B17" s="441"/>
      <c r="C17" s="439"/>
      <c r="D17" s="441"/>
      <c r="E17" s="439"/>
      <c r="F17" s="441"/>
      <c r="G17" s="90">
        <v>121730</v>
      </c>
      <c r="H17" s="91" t="s">
        <v>958</v>
      </c>
    </row>
    <row r="18" spans="1:8" ht="12.45" customHeight="1">
      <c r="A18" s="439"/>
      <c r="B18" s="441"/>
      <c r="C18" s="439"/>
      <c r="D18" s="441"/>
      <c r="E18" s="439"/>
      <c r="F18" s="441"/>
      <c r="G18" s="90">
        <v>121740</v>
      </c>
      <c r="H18" s="91" t="s">
        <v>959</v>
      </c>
    </row>
    <row r="19" spans="1:8" ht="12.45" customHeight="1">
      <c r="A19" s="439"/>
      <c r="B19" s="441"/>
      <c r="C19" s="439"/>
      <c r="D19" s="441"/>
      <c r="E19" s="442"/>
      <c r="F19" s="443"/>
      <c r="G19" s="90">
        <v>121760</v>
      </c>
      <c r="H19" s="91" t="s">
        <v>960</v>
      </c>
    </row>
    <row r="20" spans="1:8" ht="22.2" customHeight="1">
      <c r="A20" s="439"/>
      <c r="B20" s="441"/>
      <c r="C20" s="439"/>
      <c r="D20" s="441"/>
      <c r="E20" s="444">
        <v>18</v>
      </c>
      <c r="F20" s="445" t="s">
        <v>349</v>
      </c>
      <c r="G20" s="90">
        <v>182760</v>
      </c>
      <c r="H20" s="91" t="s">
        <v>961</v>
      </c>
    </row>
    <row r="21" spans="1:8" ht="22.2" customHeight="1">
      <c r="A21" s="439"/>
      <c r="B21" s="441"/>
      <c r="C21" s="442"/>
      <c r="D21" s="443"/>
      <c r="E21" s="442"/>
      <c r="F21" s="443"/>
      <c r="G21" s="90">
        <v>182860</v>
      </c>
      <c r="H21" s="91" t="s">
        <v>962</v>
      </c>
    </row>
    <row r="22" spans="1:8" ht="22.2" customHeight="1">
      <c r="A22" s="439"/>
      <c r="B22" s="441"/>
      <c r="C22" s="444">
        <v>2</v>
      </c>
      <c r="D22" s="445" t="s">
        <v>227</v>
      </c>
      <c r="E22" s="92">
        <v>21</v>
      </c>
      <c r="F22" s="91" t="s">
        <v>343</v>
      </c>
      <c r="G22" s="90">
        <v>210210</v>
      </c>
      <c r="H22" s="91" t="s">
        <v>343</v>
      </c>
    </row>
    <row r="23" spans="1:8" ht="12.45" customHeight="1">
      <c r="A23" s="439"/>
      <c r="B23" s="441"/>
      <c r="C23" s="439"/>
      <c r="D23" s="441"/>
      <c r="E23" s="444">
        <v>22</v>
      </c>
      <c r="F23" s="445" t="s">
        <v>344</v>
      </c>
      <c r="G23" s="90">
        <v>220220</v>
      </c>
      <c r="H23" s="91" t="s">
        <v>963</v>
      </c>
    </row>
    <row r="24" spans="1:8" ht="12.45" customHeight="1">
      <c r="A24" s="439"/>
      <c r="B24" s="441"/>
      <c r="C24" s="439"/>
      <c r="D24" s="441"/>
      <c r="E24" s="439"/>
      <c r="F24" s="441"/>
      <c r="G24" s="90">
        <v>220230</v>
      </c>
      <c r="H24" s="91" t="s">
        <v>964</v>
      </c>
    </row>
    <row r="25" spans="1:8" ht="12.45" customHeight="1">
      <c r="A25" s="439"/>
      <c r="B25" s="441"/>
      <c r="C25" s="439"/>
      <c r="D25" s="441"/>
      <c r="E25" s="439"/>
      <c r="F25" s="441"/>
      <c r="G25" s="90">
        <v>220250</v>
      </c>
      <c r="H25" s="91" t="s">
        <v>965</v>
      </c>
    </row>
    <row r="26" spans="1:8" ht="22.2" customHeight="1">
      <c r="A26" s="439"/>
      <c r="B26" s="441"/>
      <c r="C26" s="439"/>
      <c r="D26" s="441"/>
      <c r="E26" s="442"/>
      <c r="F26" s="443"/>
      <c r="G26" s="90">
        <v>220270</v>
      </c>
      <c r="H26" s="91" t="s">
        <v>966</v>
      </c>
    </row>
    <row r="27" spans="1:8" ht="12.45" customHeight="1">
      <c r="A27" s="439"/>
      <c r="B27" s="441"/>
      <c r="C27" s="439"/>
      <c r="D27" s="441"/>
      <c r="E27" s="92">
        <v>23</v>
      </c>
      <c r="F27" s="91" t="s">
        <v>345</v>
      </c>
      <c r="G27" s="90">
        <v>230240</v>
      </c>
      <c r="H27" s="91" t="s">
        <v>965</v>
      </c>
    </row>
    <row r="28" spans="1:8" ht="12.45" customHeight="1">
      <c r="A28" s="439"/>
      <c r="B28" s="441"/>
      <c r="C28" s="439"/>
      <c r="D28" s="441"/>
      <c r="E28" s="444">
        <v>28</v>
      </c>
      <c r="F28" s="445" t="s">
        <v>346</v>
      </c>
      <c r="G28" s="90">
        <v>282710</v>
      </c>
      <c r="H28" s="91" t="s">
        <v>967</v>
      </c>
    </row>
    <row r="29" spans="1:8" ht="22.2" customHeight="1">
      <c r="A29" s="439"/>
      <c r="B29" s="441"/>
      <c r="C29" s="439"/>
      <c r="D29" s="441"/>
      <c r="E29" s="439"/>
      <c r="F29" s="441"/>
      <c r="G29" s="90">
        <v>282730</v>
      </c>
      <c r="H29" s="91" t="s">
        <v>968</v>
      </c>
    </row>
    <row r="30" spans="1:8" ht="22.2" customHeight="1">
      <c r="A30" s="439"/>
      <c r="B30" s="441"/>
      <c r="C30" s="442"/>
      <c r="D30" s="443"/>
      <c r="E30" s="442"/>
      <c r="F30" s="443"/>
      <c r="G30" s="90">
        <v>282970</v>
      </c>
      <c r="H30" s="91" t="s">
        <v>969</v>
      </c>
    </row>
    <row r="31" spans="1:8" ht="12.45" customHeight="1">
      <c r="A31" s="439"/>
      <c r="B31" s="441"/>
      <c r="C31" s="444">
        <v>3</v>
      </c>
      <c r="D31" s="445" t="s">
        <v>229</v>
      </c>
      <c r="E31" s="92">
        <v>31</v>
      </c>
      <c r="F31" s="91" t="s">
        <v>350</v>
      </c>
      <c r="G31" s="90">
        <v>311930</v>
      </c>
      <c r="H31" s="91" t="s">
        <v>350</v>
      </c>
    </row>
    <row r="32" spans="1:8" ht="12.45" customHeight="1">
      <c r="A32" s="439"/>
      <c r="B32" s="441"/>
      <c r="C32" s="439"/>
      <c r="D32" s="441"/>
      <c r="E32" s="444">
        <v>32</v>
      </c>
      <c r="F32" s="451" t="s">
        <v>970</v>
      </c>
      <c r="G32" s="90">
        <v>321920</v>
      </c>
      <c r="H32" s="91" t="s">
        <v>971</v>
      </c>
    </row>
    <row r="33" spans="1:8" ht="24" customHeight="1">
      <c r="A33" s="439"/>
      <c r="B33" s="441"/>
      <c r="C33" s="439"/>
      <c r="D33" s="441"/>
      <c r="E33" s="442"/>
      <c r="F33" s="448"/>
      <c r="G33" s="90">
        <v>321940</v>
      </c>
      <c r="H33" s="95" t="s">
        <v>972</v>
      </c>
    </row>
    <row r="34" spans="1:8" ht="13.95" customHeight="1">
      <c r="A34" s="439"/>
      <c r="B34" s="441"/>
      <c r="C34" s="439"/>
      <c r="D34" s="441"/>
      <c r="E34" s="92">
        <v>33</v>
      </c>
      <c r="F34" s="95" t="s">
        <v>973</v>
      </c>
      <c r="G34" s="90">
        <v>331960</v>
      </c>
      <c r="H34" s="91" t="s">
        <v>974</v>
      </c>
    </row>
    <row r="35" spans="1:8" ht="34.200000000000003" customHeight="1">
      <c r="A35" s="439"/>
      <c r="B35" s="441"/>
      <c r="C35" s="439"/>
      <c r="D35" s="441"/>
      <c r="E35" s="100">
        <v>34</v>
      </c>
      <c r="F35" s="95" t="s">
        <v>975</v>
      </c>
      <c r="G35" s="97">
        <v>341980</v>
      </c>
      <c r="H35" s="95" t="s">
        <v>976</v>
      </c>
    </row>
    <row r="36" spans="1:8" ht="12.45" customHeight="1">
      <c r="A36" s="439"/>
      <c r="B36" s="441"/>
      <c r="C36" s="439"/>
      <c r="D36" s="441"/>
      <c r="E36" s="444">
        <v>38</v>
      </c>
      <c r="F36" s="445" t="s">
        <v>354</v>
      </c>
      <c r="G36" s="90">
        <v>382750</v>
      </c>
      <c r="H36" s="91" t="s">
        <v>977</v>
      </c>
    </row>
    <row r="37" spans="1:8" ht="22.2" customHeight="1">
      <c r="A37" s="439"/>
      <c r="B37" s="441"/>
      <c r="C37" s="439"/>
      <c r="D37" s="441"/>
      <c r="E37" s="439"/>
      <c r="F37" s="441"/>
      <c r="G37" s="90">
        <v>382770</v>
      </c>
      <c r="H37" s="91" t="s">
        <v>978</v>
      </c>
    </row>
    <row r="38" spans="1:8" ht="12.45" customHeight="1">
      <c r="A38" s="439"/>
      <c r="B38" s="441"/>
      <c r="C38" s="442"/>
      <c r="D38" s="443"/>
      <c r="E38" s="442"/>
      <c r="F38" s="443"/>
      <c r="G38" s="90">
        <v>382890</v>
      </c>
      <c r="H38" s="91" t="s">
        <v>979</v>
      </c>
    </row>
    <row r="39" spans="1:8" ht="12.45" customHeight="1">
      <c r="A39" s="439"/>
      <c r="B39" s="441"/>
      <c r="C39" s="444">
        <v>4</v>
      </c>
      <c r="D39" s="445" t="s">
        <v>230</v>
      </c>
      <c r="E39" s="92">
        <v>41</v>
      </c>
      <c r="F39" s="91" t="s">
        <v>355</v>
      </c>
      <c r="G39" s="90">
        <v>412320</v>
      </c>
      <c r="H39" s="91" t="s">
        <v>355</v>
      </c>
    </row>
    <row r="40" spans="1:8" ht="12.45" customHeight="1">
      <c r="A40" s="439"/>
      <c r="B40" s="441"/>
      <c r="C40" s="439"/>
      <c r="D40" s="441"/>
      <c r="E40" s="92">
        <v>42</v>
      </c>
      <c r="F40" s="91" t="s">
        <v>356</v>
      </c>
      <c r="G40" s="90">
        <v>422350</v>
      </c>
      <c r="H40" s="91" t="s">
        <v>356</v>
      </c>
    </row>
    <row r="41" spans="1:8" ht="12.45" customHeight="1">
      <c r="A41" s="439"/>
      <c r="B41" s="441"/>
      <c r="C41" s="439"/>
      <c r="D41" s="441"/>
      <c r="E41" s="92">
        <v>43</v>
      </c>
      <c r="F41" s="91" t="s">
        <v>357</v>
      </c>
      <c r="G41" s="90">
        <v>432360</v>
      </c>
      <c r="H41" s="91" t="s">
        <v>980</v>
      </c>
    </row>
  </sheetData>
  <mergeCells count="29">
    <mergeCell ref="F23:F26"/>
    <mergeCell ref="E28:E30"/>
    <mergeCell ref="F28:F30"/>
    <mergeCell ref="C31:C38"/>
    <mergeCell ref="D31:D38"/>
    <mergeCell ref="E32:E33"/>
    <mergeCell ref="F32:F33"/>
    <mergeCell ref="E36:E38"/>
    <mergeCell ref="F36:F38"/>
    <mergeCell ref="F5:F15"/>
    <mergeCell ref="E16:E19"/>
    <mergeCell ref="F16:F19"/>
    <mergeCell ref="E20:E21"/>
    <mergeCell ref="F20:F21"/>
    <mergeCell ref="A5:A41"/>
    <mergeCell ref="B5:B41"/>
    <mergeCell ref="C5:C21"/>
    <mergeCell ref="D5:D21"/>
    <mergeCell ref="E5:E15"/>
    <mergeCell ref="C22:C30"/>
    <mergeCell ref="D22:D30"/>
    <mergeCell ref="E23:E26"/>
    <mergeCell ref="C39:C41"/>
    <mergeCell ref="D39:D41"/>
    <mergeCell ref="A1:I1"/>
    <mergeCell ref="A3:B3"/>
    <mergeCell ref="C3:D3"/>
    <mergeCell ref="E3:F3"/>
    <mergeCell ref="G3:H3"/>
  </mergeCells>
  <pageMargins left="0.7" right="0.7" top="0.75" bottom="0.75" header="0.3" footer="0.3"/>
  <drawing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theme="0"/>
  </sheetPr>
  <dimension ref="A1:I41"/>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36" t="s">
        <v>942</v>
      </c>
      <c r="B3" s="437"/>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14.7" customHeight="1">
      <c r="A5" s="446"/>
      <c r="B5" s="446"/>
      <c r="C5" s="446"/>
      <c r="D5" s="446"/>
      <c r="E5" s="88">
        <v>44</v>
      </c>
      <c r="F5" s="96" t="s">
        <v>981</v>
      </c>
      <c r="G5" s="89">
        <v>442310</v>
      </c>
      <c r="H5" s="6" t="s">
        <v>358</v>
      </c>
    </row>
    <row r="6" spans="1:9" ht="24" customHeight="1">
      <c r="A6" s="447"/>
      <c r="B6" s="447"/>
      <c r="C6" s="447"/>
      <c r="D6" s="447"/>
      <c r="E6" s="92">
        <v>45</v>
      </c>
      <c r="F6" s="91" t="s">
        <v>359</v>
      </c>
      <c r="G6" s="90">
        <v>452380</v>
      </c>
      <c r="H6" s="95" t="s">
        <v>982</v>
      </c>
    </row>
    <row r="7" spans="1:9" ht="12.45" customHeight="1">
      <c r="A7" s="447"/>
      <c r="B7" s="447"/>
      <c r="C7" s="447"/>
      <c r="D7" s="447"/>
      <c r="E7" s="444">
        <v>48</v>
      </c>
      <c r="F7" s="445" t="s">
        <v>360</v>
      </c>
      <c r="G7" s="90">
        <v>482780</v>
      </c>
      <c r="H7" s="91" t="s">
        <v>983</v>
      </c>
    </row>
    <row r="8" spans="1:9" ht="22.2" customHeight="1">
      <c r="A8" s="447"/>
      <c r="B8" s="447"/>
      <c r="C8" s="447"/>
      <c r="D8" s="447"/>
      <c r="E8" s="439"/>
      <c r="F8" s="441"/>
      <c r="G8" s="90">
        <v>482900</v>
      </c>
      <c r="H8" s="91" t="s">
        <v>984</v>
      </c>
    </row>
    <row r="9" spans="1:9" ht="12.45" customHeight="1">
      <c r="A9" s="447"/>
      <c r="B9" s="447"/>
      <c r="C9" s="447"/>
      <c r="D9" s="447"/>
      <c r="E9" s="439"/>
      <c r="F9" s="441"/>
      <c r="G9" s="90">
        <v>482910</v>
      </c>
      <c r="H9" s="91" t="s">
        <v>985</v>
      </c>
    </row>
    <row r="10" spans="1:9" ht="12.45" customHeight="1">
      <c r="A10" s="447"/>
      <c r="B10" s="447"/>
      <c r="C10" s="447"/>
      <c r="D10" s="447"/>
      <c r="E10" s="439"/>
      <c r="F10" s="441"/>
      <c r="G10" s="90">
        <v>482930</v>
      </c>
      <c r="H10" s="91" t="s">
        <v>986</v>
      </c>
    </row>
    <row r="11" spans="1:9" ht="22.2" customHeight="1">
      <c r="A11" s="447"/>
      <c r="B11" s="447"/>
      <c r="C11" s="448"/>
      <c r="D11" s="448"/>
      <c r="E11" s="442"/>
      <c r="F11" s="443"/>
      <c r="G11" s="90">
        <v>482980</v>
      </c>
      <c r="H11" s="91" t="s">
        <v>987</v>
      </c>
    </row>
    <row r="12" spans="1:9" ht="22.2" customHeight="1">
      <c r="A12" s="447"/>
      <c r="B12" s="447"/>
      <c r="C12" s="444">
        <v>5</v>
      </c>
      <c r="D12" s="445" t="s">
        <v>231</v>
      </c>
      <c r="E12" s="92">
        <v>51</v>
      </c>
      <c r="F12" s="91" t="s">
        <v>361</v>
      </c>
      <c r="G12" s="90">
        <v>510820</v>
      </c>
      <c r="H12" s="91" t="s">
        <v>988</v>
      </c>
    </row>
    <row r="13" spans="1:9" ht="12.45" customHeight="1">
      <c r="A13" s="447"/>
      <c r="B13" s="447"/>
      <c r="C13" s="439"/>
      <c r="D13" s="441"/>
      <c r="E13" s="92">
        <v>52</v>
      </c>
      <c r="F13" s="91" t="s">
        <v>362</v>
      </c>
      <c r="G13" s="90">
        <v>520850</v>
      </c>
      <c r="H13" s="91" t="s">
        <v>362</v>
      </c>
    </row>
    <row r="14" spans="1:9" ht="22.2" customHeight="1">
      <c r="A14" s="447"/>
      <c r="B14" s="447"/>
      <c r="C14" s="439"/>
      <c r="D14" s="441"/>
      <c r="E14" s="92">
        <v>53</v>
      </c>
      <c r="F14" s="91" t="s">
        <v>363</v>
      </c>
      <c r="G14" s="90">
        <v>530860</v>
      </c>
      <c r="H14" s="91" t="s">
        <v>989</v>
      </c>
    </row>
    <row r="15" spans="1:9" ht="12.45" customHeight="1">
      <c r="A15" s="447"/>
      <c r="B15" s="447"/>
      <c r="C15" s="439"/>
      <c r="D15" s="441"/>
      <c r="E15" s="444">
        <v>54</v>
      </c>
      <c r="F15" s="445" t="s">
        <v>364</v>
      </c>
      <c r="G15" s="90">
        <v>540870</v>
      </c>
      <c r="H15" s="91" t="s">
        <v>990</v>
      </c>
    </row>
    <row r="16" spans="1:9" ht="12.45" customHeight="1">
      <c r="A16" s="447"/>
      <c r="B16" s="447"/>
      <c r="C16" s="439"/>
      <c r="D16" s="441"/>
      <c r="E16" s="442"/>
      <c r="F16" s="443"/>
      <c r="G16" s="90">
        <v>540890</v>
      </c>
      <c r="H16" s="91" t="s">
        <v>991</v>
      </c>
    </row>
    <row r="17" spans="1:8" ht="12.45" customHeight="1">
      <c r="A17" s="447"/>
      <c r="B17" s="447"/>
      <c r="C17" s="439"/>
      <c r="D17" s="441"/>
      <c r="E17" s="92">
        <v>55</v>
      </c>
      <c r="F17" s="91" t="s">
        <v>365</v>
      </c>
      <c r="G17" s="90">
        <v>550910</v>
      </c>
      <c r="H17" s="91" t="s">
        <v>365</v>
      </c>
    </row>
    <row r="18" spans="1:8" ht="12.45" customHeight="1">
      <c r="A18" s="447"/>
      <c r="B18" s="447"/>
      <c r="C18" s="439"/>
      <c r="D18" s="441"/>
      <c r="E18" s="92">
        <v>56</v>
      </c>
      <c r="F18" s="91" t="s">
        <v>366</v>
      </c>
      <c r="G18" s="90">
        <v>560940</v>
      </c>
      <c r="H18" s="91" t="s">
        <v>366</v>
      </c>
    </row>
    <row r="19" spans="1:8" ht="12.45" customHeight="1">
      <c r="A19" s="447"/>
      <c r="B19" s="447"/>
      <c r="C19" s="439"/>
      <c r="D19" s="441"/>
      <c r="E19" s="444">
        <v>57</v>
      </c>
      <c r="F19" s="445" t="s">
        <v>367</v>
      </c>
      <c r="G19" s="90">
        <v>570840</v>
      </c>
      <c r="H19" s="91" t="s">
        <v>992</v>
      </c>
    </row>
    <row r="20" spans="1:8" ht="12.45" customHeight="1">
      <c r="A20" s="447"/>
      <c r="B20" s="447"/>
      <c r="C20" s="439"/>
      <c r="D20" s="441"/>
      <c r="E20" s="439"/>
      <c r="F20" s="441"/>
      <c r="G20" s="90">
        <v>570900</v>
      </c>
      <c r="H20" s="91" t="s">
        <v>993</v>
      </c>
    </row>
    <row r="21" spans="1:8" ht="12.45" customHeight="1">
      <c r="A21" s="447"/>
      <c r="B21" s="447"/>
      <c r="C21" s="439"/>
      <c r="D21" s="441"/>
      <c r="E21" s="439"/>
      <c r="F21" s="441"/>
      <c r="G21" s="90">
        <v>570920</v>
      </c>
      <c r="H21" s="91" t="s">
        <v>994</v>
      </c>
    </row>
    <row r="22" spans="1:8" ht="12.45" customHeight="1">
      <c r="A22" s="447"/>
      <c r="B22" s="447"/>
      <c r="C22" s="439"/>
      <c r="D22" s="441"/>
      <c r="E22" s="439"/>
      <c r="F22" s="441"/>
      <c r="G22" s="90">
        <v>570930</v>
      </c>
      <c r="H22" s="91" t="s">
        <v>995</v>
      </c>
    </row>
    <row r="23" spans="1:8" ht="12.45" customHeight="1">
      <c r="A23" s="447"/>
      <c r="B23" s="447"/>
      <c r="C23" s="439"/>
      <c r="D23" s="441"/>
      <c r="E23" s="439"/>
      <c r="F23" s="441"/>
      <c r="G23" s="90">
        <v>570960</v>
      </c>
      <c r="H23" s="91" t="s">
        <v>996</v>
      </c>
    </row>
    <row r="24" spans="1:8" ht="12.45" customHeight="1">
      <c r="A24" s="447"/>
      <c r="B24" s="447"/>
      <c r="C24" s="439"/>
      <c r="D24" s="441"/>
      <c r="E24" s="439"/>
      <c r="F24" s="441"/>
      <c r="G24" s="90">
        <v>570970</v>
      </c>
      <c r="H24" s="91" t="s">
        <v>997</v>
      </c>
    </row>
    <row r="25" spans="1:8" ht="12.45" customHeight="1">
      <c r="A25" s="447"/>
      <c r="B25" s="447"/>
      <c r="C25" s="439"/>
      <c r="D25" s="441"/>
      <c r="E25" s="439"/>
      <c r="F25" s="441"/>
      <c r="G25" s="90">
        <v>570980</v>
      </c>
      <c r="H25" s="91" t="s">
        <v>998</v>
      </c>
    </row>
    <row r="26" spans="1:8" ht="24" customHeight="1">
      <c r="A26" s="447"/>
      <c r="B26" s="447"/>
      <c r="C26" s="439"/>
      <c r="D26" s="441"/>
      <c r="E26" s="442"/>
      <c r="F26" s="443"/>
      <c r="G26" s="90">
        <v>570990</v>
      </c>
      <c r="H26" s="95" t="s">
        <v>999</v>
      </c>
    </row>
    <row r="27" spans="1:8" ht="22.2" customHeight="1">
      <c r="A27" s="448"/>
      <c r="B27" s="448"/>
      <c r="C27" s="442"/>
      <c r="D27" s="443"/>
      <c r="E27" s="92">
        <v>58</v>
      </c>
      <c r="F27" s="91" t="s">
        <v>368</v>
      </c>
      <c r="G27" s="90">
        <v>582800</v>
      </c>
      <c r="H27" s="91" t="s">
        <v>1000</v>
      </c>
    </row>
    <row r="28" spans="1:8" ht="12.45" customHeight="1">
      <c r="A28" s="444">
        <v>2</v>
      </c>
      <c r="B28" s="445" t="s">
        <v>175</v>
      </c>
      <c r="C28" s="444">
        <v>6</v>
      </c>
      <c r="D28" s="445" t="s">
        <v>175</v>
      </c>
      <c r="E28" s="444">
        <v>61</v>
      </c>
      <c r="F28" s="445" t="s">
        <v>369</v>
      </c>
      <c r="G28" s="90">
        <v>611110</v>
      </c>
      <c r="H28" s="91" t="s">
        <v>1001</v>
      </c>
    </row>
    <row r="29" spans="1:8" ht="32.25" customHeight="1">
      <c r="A29" s="439"/>
      <c r="B29" s="441"/>
      <c r="C29" s="439"/>
      <c r="D29" s="441"/>
      <c r="E29" s="439"/>
      <c r="F29" s="441"/>
      <c r="G29" s="97">
        <v>611120</v>
      </c>
      <c r="H29" s="91" t="s">
        <v>1002</v>
      </c>
    </row>
    <row r="30" spans="1:8" ht="12.45" customHeight="1">
      <c r="A30" s="439"/>
      <c r="B30" s="441"/>
      <c r="C30" s="439"/>
      <c r="D30" s="441"/>
      <c r="E30" s="439"/>
      <c r="F30" s="441"/>
      <c r="G30" s="90">
        <v>611130</v>
      </c>
      <c r="H30" s="91" t="s">
        <v>1003</v>
      </c>
    </row>
    <row r="31" spans="1:8" ht="12.45" customHeight="1">
      <c r="A31" s="439"/>
      <c r="B31" s="441"/>
      <c r="C31" s="439"/>
      <c r="D31" s="441"/>
      <c r="E31" s="439"/>
      <c r="F31" s="441"/>
      <c r="G31" s="90">
        <v>611140</v>
      </c>
      <c r="H31" s="91" t="s">
        <v>1004</v>
      </c>
    </row>
    <row r="32" spans="1:8" ht="22.2" customHeight="1">
      <c r="A32" s="439"/>
      <c r="B32" s="441"/>
      <c r="C32" s="439"/>
      <c r="D32" s="441"/>
      <c r="E32" s="442"/>
      <c r="F32" s="443"/>
      <c r="G32" s="90">
        <v>612870</v>
      </c>
      <c r="H32" s="91" t="s">
        <v>1005</v>
      </c>
    </row>
    <row r="33" spans="1:8" ht="22.2" customHeight="1">
      <c r="A33" s="439"/>
      <c r="B33" s="441"/>
      <c r="C33" s="439"/>
      <c r="D33" s="441"/>
      <c r="E33" s="444">
        <v>62</v>
      </c>
      <c r="F33" s="445" t="s">
        <v>370</v>
      </c>
      <c r="G33" s="90">
        <v>621420</v>
      </c>
      <c r="H33" s="91" t="s">
        <v>1006</v>
      </c>
    </row>
    <row r="34" spans="1:8" ht="12.45" customHeight="1">
      <c r="A34" s="439"/>
      <c r="B34" s="441"/>
      <c r="C34" s="439"/>
      <c r="D34" s="441"/>
      <c r="E34" s="439"/>
      <c r="F34" s="441"/>
      <c r="G34" s="90">
        <v>621430</v>
      </c>
      <c r="H34" s="91" t="s">
        <v>1007</v>
      </c>
    </row>
    <row r="35" spans="1:8" ht="12.45" customHeight="1">
      <c r="A35" s="439"/>
      <c r="B35" s="441"/>
      <c r="C35" s="439"/>
      <c r="D35" s="441"/>
      <c r="E35" s="439"/>
      <c r="F35" s="441"/>
      <c r="G35" s="90">
        <v>621440</v>
      </c>
      <c r="H35" s="91" t="s">
        <v>1008</v>
      </c>
    </row>
    <row r="36" spans="1:8" ht="12.45" customHeight="1">
      <c r="A36" s="439"/>
      <c r="B36" s="441"/>
      <c r="C36" s="439"/>
      <c r="D36" s="441"/>
      <c r="E36" s="442"/>
      <c r="F36" s="443"/>
      <c r="G36" s="90">
        <v>621450</v>
      </c>
      <c r="H36" s="91" t="s">
        <v>1009</v>
      </c>
    </row>
    <row r="37" spans="1:8" ht="22.2" customHeight="1">
      <c r="A37" s="439"/>
      <c r="B37" s="441"/>
      <c r="C37" s="439"/>
      <c r="D37" s="441"/>
      <c r="E37" s="444">
        <v>63</v>
      </c>
      <c r="F37" s="445" t="s">
        <v>1010</v>
      </c>
      <c r="G37" s="90">
        <v>632530</v>
      </c>
      <c r="H37" s="91" t="s">
        <v>1011</v>
      </c>
    </row>
    <row r="38" spans="1:8" ht="12.45" customHeight="1">
      <c r="A38" s="439"/>
      <c r="B38" s="441"/>
      <c r="C38" s="439"/>
      <c r="D38" s="441"/>
      <c r="E38" s="442"/>
      <c r="F38" s="443"/>
      <c r="G38" s="90">
        <v>632540</v>
      </c>
      <c r="H38" s="91" t="s">
        <v>1012</v>
      </c>
    </row>
    <row r="39" spans="1:8" ht="22.2" customHeight="1">
      <c r="A39" s="439"/>
      <c r="B39" s="441"/>
      <c r="C39" s="439"/>
      <c r="D39" s="441"/>
      <c r="E39" s="444">
        <v>64</v>
      </c>
      <c r="F39" s="445" t="s">
        <v>372</v>
      </c>
      <c r="G39" s="90">
        <v>640260</v>
      </c>
      <c r="H39" s="91" t="s">
        <v>1013</v>
      </c>
    </row>
    <row r="40" spans="1:8" ht="22.2" customHeight="1">
      <c r="A40" s="439"/>
      <c r="B40" s="441"/>
      <c r="C40" s="439"/>
      <c r="D40" s="441"/>
      <c r="E40" s="439"/>
      <c r="F40" s="441"/>
      <c r="G40" s="90">
        <v>640530</v>
      </c>
      <c r="H40" s="91" t="s">
        <v>1014</v>
      </c>
    </row>
    <row r="41" spans="1:8" ht="22.2" customHeight="1">
      <c r="A41" s="439"/>
      <c r="B41" s="441"/>
      <c r="C41" s="439"/>
      <c r="D41" s="441"/>
      <c r="E41" s="439"/>
      <c r="F41" s="441"/>
      <c r="G41" s="90">
        <v>641000</v>
      </c>
      <c r="H41" s="91" t="s">
        <v>1015</v>
      </c>
    </row>
  </sheetData>
  <mergeCells count="29">
    <mergeCell ref="F39:F41"/>
    <mergeCell ref="F28:F32"/>
    <mergeCell ref="E33:E36"/>
    <mergeCell ref="F33:F36"/>
    <mergeCell ref="E37:E38"/>
    <mergeCell ref="F37:F38"/>
    <mergeCell ref="A28:A41"/>
    <mergeCell ref="B28:B41"/>
    <mergeCell ref="C28:C41"/>
    <mergeCell ref="D28:D41"/>
    <mergeCell ref="E28:E32"/>
    <mergeCell ref="E39:E41"/>
    <mergeCell ref="F7:F11"/>
    <mergeCell ref="C12:C27"/>
    <mergeCell ref="D12:D27"/>
    <mergeCell ref="E15:E16"/>
    <mergeCell ref="F15:F16"/>
    <mergeCell ref="E19:E26"/>
    <mergeCell ref="F19:F26"/>
    <mergeCell ref="A5:A27"/>
    <mergeCell ref="B5:B27"/>
    <mergeCell ref="C5:C11"/>
    <mergeCell ref="D5:D11"/>
    <mergeCell ref="E7:E11"/>
    <mergeCell ref="A1:I1"/>
    <mergeCell ref="A3:B3"/>
    <mergeCell ref="C3:D3"/>
    <mergeCell ref="E3:F3"/>
    <mergeCell ref="G3:H3"/>
  </mergeCells>
  <pageMargins left="0.7" right="0.7" top="0.75" bottom="0.75" header="0.3" footer="0.3"/>
  <drawing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theme="0"/>
  </sheetPr>
  <dimension ref="A1:I38"/>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39" customHeight="1">
      <c r="A1" s="420" t="s">
        <v>941</v>
      </c>
      <c r="B1" s="420"/>
      <c r="C1" s="420"/>
      <c r="D1" s="420"/>
      <c r="E1" s="420"/>
      <c r="F1" s="420"/>
      <c r="G1" s="420"/>
      <c r="H1" s="420"/>
      <c r="I1" s="420"/>
    </row>
    <row r="2" spans="1:9" ht="1.95" customHeight="1"/>
    <row r="3" spans="1:9" ht="13.95" customHeight="1">
      <c r="A3" s="436" t="s">
        <v>942</v>
      </c>
      <c r="B3" s="437"/>
      <c r="C3" s="403" t="s">
        <v>943</v>
      </c>
      <c r="D3" s="404"/>
      <c r="E3" s="400" t="s">
        <v>944</v>
      </c>
      <c r="F3" s="402"/>
      <c r="G3" s="453" t="s">
        <v>945</v>
      </c>
      <c r="H3" s="454"/>
    </row>
    <row r="4" spans="1:9" ht="13.95" customHeight="1">
      <c r="A4" s="4" t="s">
        <v>807</v>
      </c>
      <c r="B4" s="41" t="s">
        <v>808</v>
      </c>
      <c r="C4" s="4" t="s">
        <v>807</v>
      </c>
      <c r="D4" s="23" t="s">
        <v>808</v>
      </c>
      <c r="E4" s="4" t="s">
        <v>807</v>
      </c>
      <c r="F4" s="23" t="s">
        <v>808</v>
      </c>
      <c r="G4" s="23" t="s">
        <v>807</v>
      </c>
      <c r="H4" s="23" t="s">
        <v>808</v>
      </c>
    </row>
    <row r="5" spans="1:9" ht="22.5" customHeight="1">
      <c r="A5" s="446"/>
      <c r="B5" s="446"/>
      <c r="C5" s="446"/>
      <c r="D5" s="446"/>
      <c r="E5" s="446"/>
      <c r="F5" s="446"/>
      <c r="G5" s="89">
        <v>641010</v>
      </c>
      <c r="H5" s="6" t="s">
        <v>1016</v>
      </c>
    </row>
    <row r="6" spans="1:9" ht="12.45" customHeight="1">
      <c r="A6" s="447"/>
      <c r="B6" s="447"/>
      <c r="C6" s="447"/>
      <c r="D6" s="447"/>
      <c r="E6" s="447"/>
      <c r="F6" s="447"/>
      <c r="G6" s="90">
        <v>641020</v>
      </c>
      <c r="H6" s="91" t="s">
        <v>1017</v>
      </c>
    </row>
    <row r="7" spans="1:9" ht="22.2" customHeight="1">
      <c r="A7" s="447"/>
      <c r="B7" s="447"/>
      <c r="C7" s="447"/>
      <c r="D7" s="447"/>
      <c r="E7" s="447"/>
      <c r="F7" s="447"/>
      <c r="G7" s="90">
        <v>641030</v>
      </c>
      <c r="H7" s="91" t="s">
        <v>1018</v>
      </c>
    </row>
    <row r="8" spans="1:9" ht="22.2" customHeight="1">
      <c r="A8" s="447"/>
      <c r="B8" s="447"/>
      <c r="C8" s="447"/>
      <c r="D8" s="447"/>
      <c r="E8" s="447"/>
      <c r="F8" s="447"/>
      <c r="G8" s="90">
        <v>641040</v>
      </c>
      <c r="H8" s="91" t="s">
        <v>1019</v>
      </c>
    </row>
    <row r="9" spans="1:9" ht="24" customHeight="1">
      <c r="A9" s="447"/>
      <c r="B9" s="447"/>
      <c r="C9" s="447"/>
      <c r="D9" s="447"/>
      <c r="E9" s="448"/>
      <c r="F9" s="448"/>
      <c r="G9" s="90">
        <v>641970</v>
      </c>
      <c r="H9" s="95" t="s">
        <v>1020</v>
      </c>
    </row>
    <row r="10" spans="1:9" ht="12.45" customHeight="1">
      <c r="A10" s="447"/>
      <c r="B10" s="447"/>
      <c r="C10" s="447"/>
      <c r="D10" s="447"/>
      <c r="E10" s="444">
        <v>65</v>
      </c>
      <c r="F10" s="445" t="s">
        <v>373</v>
      </c>
      <c r="G10" s="90">
        <v>650810</v>
      </c>
      <c r="H10" s="91" t="s">
        <v>1021</v>
      </c>
    </row>
    <row r="11" spans="1:9" ht="12.45" customHeight="1">
      <c r="A11" s="448"/>
      <c r="B11" s="448"/>
      <c r="C11" s="448"/>
      <c r="D11" s="448"/>
      <c r="E11" s="442"/>
      <c r="F11" s="443"/>
      <c r="G11" s="90">
        <v>651710</v>
      </c>
      <c r="H11" s="91" t="s">
        <v>1022</v>
      </c>
    </row>
    <row r="12" spans="1:9" ht="22.2" customHeight="1">
      <c r="A12" s="444">
        <v>3</v>
      </c>
      <c r="B12" s="445" t="s">
        <v>176</v>
      </c>
      <c r="C12" s="444">
        <v>7</v>
      </c>
      <c r="D12" s="445" t="s">
        <v>176</v>
      </c>
      <c r="E12" s="444">
        <v>71</v>
      </c>
      <c r="F12" s="445" t="s">
        <v>374</v>
      </c>
      <c r="G12" s="90">
        <v>711410</v>
      </c>
      <c r="H12" s="91" t="s">
        <v>1023</v>
      </c>
    </row>
    <row r="13" spans="1:9" ht="12.45" customHeight="1">
      <c r="A13" s="439"/>
      <c r="B13" s="441"/>
      <c r="C13" s="439"/>
      <c r="D13" s="441"/>
      <c r="E13" s="439"/>
      <c r="F13" s="441"/>
      <c r="G13" s="90">
        <v>711460</v>
      </c>
      <c r="H13" s="91" t="s">
        <v>1024</v>
      </c>
    </row>
    <row r="14" spans="1:9" ht="12.45" customHeight="1">
      <c r="A14" s="439"/>
      <c r="B14" s="441"/>
      <c r="C14" s="439"/>
      <c r="D14" s="441"/>
      <c r="E14" s="442"/>
      <c r="F14" s="443"/>
      <c r="G14" s="90">
        <v>711470</v>
      </c>
      <c r="H14" s="91" t="s">
        <v>1025</v>
      </c>
    </row>
    <row r="15" spans="1:9" ht="22.2" customHeight="1">
      <c r="A15" s="439"/>
      <c r="B15" s="441"/>
      <c r="C15" s="439"/>
      <c r="D15" s="441"/>
      <c r="E15" s="444">
        <v>72</v>
      </c>
      <c r="F15" s="445" t="s">
        <v>406</v>
      </c>
      <c r="G15" s="90">
        <v>721510</v>
      </c>
      <c r="H15" s="91" t="s">
        <v>1026</v>
      </c>
    </row>
    <row r="16" spans="1:9" ht="22.2" customHeight="1">
      <c r="A16" s="439"/>
      <c r="B16" s="441"/>
      <c r="C16" s="439"/>
      <c r="D16" s="441"/>
      <c r="E16" s="439"/>
      <c r="F16" s="441"/>
      <c r="G16" s="90">
        <v>721520</v>
      </c>
      <c r="H16" s="91" t="s">
        <v>1027</v>
      </c>
    </row>
    <row r="17" spans="1:8" ht="12.45" customHeight="1">
      <c r="A17" s="439"/>
      <c r="B17" s="441"/>
      <c r="C17" s="439"/>
      <c r="D17" s="441"/>
      <c r="E17" s="442"/>
      <c r="F17" s="443"/>
      <c r="G17" s="90">
        <v>721530</v>
      </c>
      <c r="H17" s="91" t="s">
        <v>1028</v>
      </c>
    </row>
    <row r="18" spans="1:8" ht="22.2" customHeight="1">
      <c r="A18" s="439"/>
      <c r="B18" s="441"/>
      <c r="C18" s="439"/>
      <c r="D18" s="441"/>
      <c r="E18" s="444">
        <v>73</v>
      </c>
      <c r="F18" s="445" t="s">
        <v>376</v>
      </c>
      <c r="G18" s="90">
        <v>732510</v>
      </c>
      <c r="H18" s="91" t="s">
        <v>1029</v>
      </c>
    </row>
    <row r="19" spans="1:8" ht="12.45" customHeight="1">
      <c r="A19" s="439"/>
      <c r="B19" s="441"/>
      <c r="C19" s="439"/>
      <c r="D19" s="441"/>
      <c r="E19" s="439"/>
      <c r="F19" s="441"/>
      <c r="G19" s="90">
        <v>732520</v>
      </c>
      <c r="H19" s="91" t="s">
        <v>1030</v>
      </c>
    </row>
    <row r="20" spans="1:8" ht="12.45" customHeight="1">
      <c r="A20" s="439"/>
      <c r="B20" s="441"/>
      <c r="C20" s="439"/>
      <c r="D20" s="441"/>
      <c r="E20" s="439"/>
      <c r="F20" s="441"/>
      <c r="G20" s="90">
        <v>732550</v>
      </c>
      <c r="H20" s="91" t="s">
        <v>1031</v>
      </c>
    </row>
    <row r="21" spans="1:8" ht="22.2" customHeight="1">
      <c r="A21" s="439"/>
      <c r="B21" s="441"/>
      <c r="C21" s="439"/>
      <c r="D21" s="441"/>
      <c r="E21" s="439"/>
      <c r="F21" s="441"/>
      <c r="G21" s="90">
        <v>732560</v>
      </c>
      <c r="H21" s="91" t="s">
        <v>1032</v>
      </c>
    </row>
    <row r="22" spans="1:8" ht="12.45" customHeight="1">
      <c r="A22" s="439"/>
      <c r="B22" s="441"/>
      <c r="C22" s="439"/>
      <c r="D22" s="441"/>
      <c r="E22" s="442"/>
      <c r="F22" s="443"/>
      <c r="G22" s="90">
        <v>732570</v>
      </c>
      <c r="H22" s="91" t="s">
        <v>1033</v>
      </c>
    </row>
    <row r="23" spans="1:8" ht="22.2" customHeight="1">
      <c r="A23" s="439"/>
      <c r="B23" s="441"/>
      <c r="C23" s="439"/>
      <c r="D23" s="441"/>
      <c r="E23" s="444">
        <v>74</v>
      </c>
      <c r="F23" s="445" t="s">
        <v>377</v>
      </c>
      <c r="G23" s="90">
        <v>742720</v>
      </c>
      <c r="H23" s="91" t="s">
        <v>1034</v>
      </c>
    </row>
    <row r="24" spans="1:8" ht="22.2" customHeight="1">
      <c r="A24" s="439"/>
      <c r="B24" s="441"/>
      <c r="C24" s="439"/>
      <c r="D24" s="441"/>
      <c r="E24" s="439"/>
      <c r="F24" s="441"/>
      <c r="G24" s="90">
        <v>742740</v>
      </c>
      <c r="H24" s="91" t="s">
        <v>1035</v>
      </c>
    </row>
    <row r="25" spans="1:8" ht="12.45" customHeight="1">
      <c r="A25" s="439"/>
      <c r="B25" s="441"/>
      <c r="C25" s="439"/>
      <c r="D25" s="441"/>
      <c r="E25" s="439"/>
      <c r="F25" s="441"/>
      <c r="G25" s="90">
        <v>742790</v>
      </c>
      <c r="H25" s="91" t="s">
        <v>1036</v>
      </c>
    </row>
    <row r="26" spans="1:8" ht="12.45" customHeight="1">
      <c r="A26" s="439"/>
      <c r="B26" s="441"/>
      <c r="C26" s="439"/>
      <c r="D26" s="441"/>
      <c r="E26" s="439"/>
      <c r="F26" s="441"/>
      <c r="G26" s="90">
        <v>742810</v>
      </c>
      <c r="H26" s="91" t="s">
        <v>1037</v>
      </c>
    </row>
    <row r="27" spans="1:8" ht="22.2" customHeight="1">
      <c r="A27" s="439"/>
      <c r="B27" s="441"/>
      <c r="C27" s="439"/>
      <c r="D27" s="441"/>
      <c r="E27" s="439"/>
      <c r="F27" s="441"/>
      <c r="G27" s="90">
        <v>742820</v>
      </c>
      <c r="H27" s="91" t="s">
        <v>1038</v>
      </c>
    </row>
    <row r="28" spans="1:8" ht="12.45" customHeight="1">
      <c r="A28" s="439"/>
      <c r="B28" s="441"/>
      <c r="C28" s="439"/>
      <c r="D28" s="441"/>
      <c r="E28" s="439"/>
      <c r="F28" s="441"/>
      <c r="G28" s="90">
        <v>742830</v>
      </c>
      <c r="H28" s="91" t="s">
        <v>1039</v>
      </c>
    </row>
    <row r="29" spans="1:8" ht="22.2" customHeight="1">
      <c r="A29" s="439"/>
      <c r="B29" s="441"/>
      <c r="C29" s="439"/>
      <c r="D29" s="441"/>
      <c r="E29" s="439"/>
      <c r="F29" s="441"/>
      <c r="G29" s="90">
        <v>742880</v>
      </c>
      <c r="H29" s="91" t="s">
        <v>1040</v>
      </c>
    </row>
    <row r="30" spans="1:8" ht="22.2" customHeight="1">
      <c r="A30" s="439"/>
      <c r="B30" s="441"/>
      <c r="C30" s="439"/>
      <c r="D30" s="441"/>
      <c r="E30" s="442"/>
      <c r="F30" s="443"/>
      <c r="G30" s="90">
        <v>742990</v>
      </c>
      <c r="H30" s="91" t="s">
        <v>1041</v>
      </c>
    </row>
    <row r="31" spans="1:8" ht="12.45" customHeight="1">
      <c r="A31" s="439"/>
      <c r="B31" s="441"/>
      <c r="C31" s="439"/>
      <c r="D31" s="441"/>
      <c r="E31" s="444">
        <v>75</v>
      </c>
      <c r="F31" s="445" t="s">
        <v>378</v>
      </c>
      <c r="G31" s="90">
        <v>750400</v>
      </c>
      <c r="H31" s="91" t="s">
        <v>1042</v>
      </c>
    </row>
    <row r="32" spans="1:8" ht="22.2" customHeight="1">
      <c r="A32" s="439"/>
      <c r="B32" s="441"/>
      <c r="C32" s="439"/>
      <c r="D32" s="441"/>
      <c r="E32" s="439"/>
      <c r="F32" s="441"/>
      <c r="G32" s="90">
        <v>750700</v>
      </c>
      <c r="H32" s="91" t="s">
        <v>1043</v>
      </c>
    </row>
    <row r="33" spans="1:8" ht="12.45" customHeight="1">
      <c r="A33" s="439"/>
      <c r="B33" s="441"/>
      <c r="C33" s="439"/>
      <c r="D33" s="441"/>
      <c r="E33" s="442"/>
      <c r="F33" s="443"/>
      <c r="G33" s="90">
        <v>752400</v>
      </c>
      <c r="H33" s="91" t="s">
        <v>1044</v>
      </c>
    </row>
    <row r="34" spans="1:8" ht="22.2" customHeight="1">
      <c r="A34" s="439"/>
      <c r="B34" s="441"/>
      <c r="C34" s="439"/>
      <c r="D34" s="441"/>
      <c r="E34" s="444">
        <v>76</v>
      </c>
      <c r="F34" s="445" t="s">
        <v>379</v>
      </c>
      <c r="G34" s="90">
        <v>762000</v>
      </c>
      <c r="H34" s="91" t="s">
        <v>1045</v>
      </c>
    </row>
    <row r="35" spans="1:8" ht="22.2" customHeight="1">
      <c r="A35" s="439"/>
      <c r="B35" s="441"/>
      <c r="C35" s="439"/>
      <c r="D35" s="441"/>
      <c r="E35" s="439"/>
      <c r="F35" s="441"/>
      <c r="G35" s="90">
        <v>762010</v>
      </c>
      <c r="H35" s="91" t="s">
        <v>1046</v>
      </c>
    </row>
    <row r="36" spans="1:8" ht="12.45" customHeight="1">
      <c r="A36" s="439"/>
      <c r="B36" s="441"/>
      <c r="C36" s="439"/>
      <c r="D36" s="441"/>
      <c r="E36" s="439"/>
      <c r="F36" s="441"/>
      <c r="G36" s="90">
        <v>762020</v>
      </c>
      <c r="H36" s="91" t="s">
        <v>1047</v>
      </c>
    </row>
    <row r="37" spans="1:8" ht="12.45" customHeight="1">
      <c r="A37" s="439"/>
      <c r="B37" s="441"/>
      <c r="C37" s="439"/>
      <c r="D37" s="441"/>
      <c r="E37" s="442"/>
      <c r="F37" s="443"/>
      <c r="G37" s="90">
        <v>762030</v>
      </c>
      <c r="H37" s="91" t="s">
        <v>1048</v>
      </c>
    </row>
    <row r="38" spans="1:8" ht="32.25" customHeight="1">
      <c r="A38" s="439"/>
      <c r="B38" s="441"/>
      <c r="C38" s="439"/>
      <c r="D38" s="441"/>
      <c r="E38" s="93">
        <v>77</v>
      </c>
      <c r="F38" s="94" t="s">
        <v>380</v>
      </c>
      <c r="G38" s="97">
        <v>770100</v>
      </c>
      <c r="H38" s="91" t="s">
        <v>1049</v>
      </c>
    </row>
  </sheetData>
  <mergeCells count="29">
    <mergeCell ref="F31:F33"/>
    <mergeCell ref="E34:E37"/>
    <mergeCell ref="F34:F37"/>
    <mergeCell ref="F5:F9"/>
    <mergeCell ref="E10:E11"/>
    <mergeCell ref="F10:F11"/>
    <mergeCell ref="F12:F14"/>
    <mergeCell ref="F15:F17"/>
    <mergeCell ref="F18:F22"/>
    <mergeCell ref="F23:F30"/>
    <mergeCell ref="A12:A38"/>
    <mergeCell ref="B12:B38"/>
    <mergeCell ref="C12:C38"/>
    <mergeCell ref="D12:D38"/>
    <mergeCell ref="E12:E14"/>
    <mergeCell ref="E15:E17"/>
    <mergeCell ref="E18:E22"/>
    <mergeCell ref="E23:E30"/>
    <mergeCell ref="E31:E33"/>
    <mergeCell ref="A5:A11"/>
    <mergeCell ref="B5:B11"/>
    <mergeCell ref="C5:C11"/>
    <mergeCell ref="D5:D11"/>
    <mergeCell ref="E5:E9"/>
    <mergeCell ref="A1:I1"/>
    <mergeCell ref="A3:B3"/>
    <mergeCell ref="C3:D3"/>
    <mergeCell ref="E3:F3"/>
    <mergeCell ref="G3:H3"/>
  </mergeCells>
  <pageMargins left="0.7" right="0.7" top="0.75" bottom="0.75" header="0.3" footer="0.3"/>
  <drawing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theme="0"/>
  </sheetPr>
  <dimension ref="A1:I32"/>
  <sheetViews>
    <sheetView workbookViewId="0">
      <selection sqref="A1:I1"/>
    </sheetView>
  </sheetViews>
  <sheetFormatPr defaultRowHeight="13.2"/>
  <cols>
    <col min="1" max="1" width="5.44140625" customWidth="1"/>
    <col min="2" max="2" width="14" customWidth="1"/>
    <col min="3" max="3" width="5.44140625" customWidth="1"/>
    <col min="4" max="4" width="21.77734375" customWidth="1"/>
    <col min="5" max="5" width="5.44140625" customWidth="1"/>
    <col min="6" max="6" width="28.109375" customWidth="1"/>
    <col min="7" max="7" width="8" customWidth="1"/>
    <col min="8" max="8" width="36.44140625" customWidth="1"/>
    <col min="9" max="9" width="2.77734375" customWidth="1"/>
  </cols>
  <sheetData>
    <row r="1" spans="1:9" ht="42.75" customHeight="1">
      <c r="A1" s="420" t="s">
        <v>941</v>
      </c>
      <c r="B1" s="420"/>
      <c r="C1" s="420"/>
      <c r="D1" s="420"/>
      <c r="E1" s="420"/>
      <c r="F1" s="420"/>
      <c r="G1" s="420"/>
      <c r="H1" s="420"/>
      <c r="I1" s="420"/>
    </row>
    <row r="2" spans="1:9" ht="13.95" customHeight="1">
      <c r="A2" s="436" t="s">
        <v>942</v>
      </c>
      <c r="B2" s="437"/>
      <c r="C2" s="403" t="s">
        <v>943</v>
      </c>
      <c r="D2" s="404"/>
      <c r="E2" s="400" t="s">
        <v>944</v>
      </c>
      <c r="F2" s="402"/>
      <c r="G2" s="453" t="s">
        <v>945</v>
      </c>
      <c r="H2" s="454"/>
    </row>
    <row r="3" spans="1:9" ht="13.95" customHeight="1">
      <c r="A3" s="4" t="s">
        <v>807</v>
      </c>
      <c r="B3" s="41" t="s">
        <v>808</v>
      </c>
      <c r="C3" s="4" t="s">
        <v>807</v>
      </c>
      <c r="D3" s="23" t="s">
        <v>808</v>
      </c>
      <c r="E3" s="4" t="s">
        <v>807</v>
      </c>
      <c r="F3" s="23" t="s">
        <v>808</v>
      </c>
      <c r="G3" s="23" t="s">
        <v>807</v>
      </c>
      <c r="H3" s="23" t="s">
        <v>808</v>
      </c>
    </row>
    <row r="4" spans="1:9" ht="12.45" customHeight="1">
      <c r="A4" s="446"/>
      <c r="B4" s="446"/>
      <c r="C4" s="446"/>
      <c r="D4" s="446"/>
      <c r="E4" s="77"/>
      <c r="F4" s="77"/>
      <c r="G4" s="89">
        <v>772330</v>
      </c>
      <c r="H4" s="6" t="s">
        <v>1050</v>
      </c>
    </row>
    <row r="5" spans="1:9" ht="12.45" customHeight="1">
      <c r="A5" s="447"/>
      <c r="B5" s="447"/>
      <c r="C5" s="447"/>
      <c r="D5" s="447"/>
      <c r="E5" s="444">
        <v>78</v>
      </c>
      <c r="F5" s="445" t="s">
        <v>381</v>
      </c>
      <c r="G5" s="90">
        <v>780310</v>
      </c>
      <c r="H5" s="91" t="s">
        <v>1051</v>
      </c>
    </row>
    <row r="6" spans="1:9" ht="12.45" customHeight="1">
      <c r="A6" s="447"/>
      <c r="B6" s="447"/>
      <c r="C6" s="447"/>
      <c r="D6" s="447"/>
      <c r="E6" s="439"/>
      <c r="F6" s="441"/>
      <c r="G6" s="90">
        <v>780320</v>
      </c>
      <c r="H6" s="91" t="s">
        <v>1052</v>
      </c>
    </row>
    <row r="7" spans="1:9" ht="12.45" customHeight="1">
      <c r="A7" s="447"/>
      <c r="B7" s="447"/>
      <c r="C7" s="447"/>
      <c r="D7" s="447"/>
      <c r="E7" s="439"/>
      <c r="F7" s="441"/>
      <c r="G7" s="90">
        <v>780330</v>
      </c>
      <c r="H7" s="91" t="s">
        <v>1053</v>
      </c>
    </row>
    <row r="8" spans="1:9" ht="12.45" customHeight="1">
      <c r="A8" s="447"/>
      <c r="B8" s="447"/>
      <c r="C8" s="447"/>
      <c r="D8" s="447"/>
      <c r="E8" s="439"/>
      <c r="F8" s="441"/>
      <c r="G8" s="90">
        <v>781100</v>
      </c>
      <c r="H8" s="91" t="s">
        <v>1054</v>
      </c>
    </row>
    <row r="9" spans="1:9" ht="12.45" customHeight="1">
      <c r="A9" s="447"/>
      <c r="B9" s="447"/>
      <c r="C9" s="447"/>
      <c r="D9" s="447"/>
      <c r="E9" s="439"/>
      <c r="F9" s="441"/>
      <c r="G9" s="90">
        <v>781200</v>
      </c>
      <c r="H9" s="91" t="s">
        <v>1055</v>
      </c>
    </row>
    <row r="10" spans="1:9" ht="12.45" customHeight="1">
      <c r="A10" s="447"/>
      <c r="B10" s="447"/>
      <c r="C10" s="447"/>
      <c r="D10" s="447"/>
      <c r="E10" s="439"/>
      <c r="F10" s="441"/>
      <c r="G10" s="90">
        <v>781300</v>
      </c>
      <c r="H10" s="91" t="s">
        <v>1056</v>
      </c>
    </row>
    <row r="11" spans="1:9" ht="22.2" customHeight="1">
      <c r="A11" s="447"/>
      <c r="B11" s="447"/>
      <c r="C11" s="447"/>
      <c r="D11" s="447"/>
      <c r="E11" s="439"/>
      <c r="F11" s="441"/>
      <c r="G11" s="90">
        <v>782210</v>
      </c>
      <c r="H11" s="91" t="s">
        <v>1057</v>
      </c>
    </row>
    <row r="12" spans="1:9" ht="12.45" customHeight="1">
      <c r="A12" s="447"/>
      <c r="B12" s="447"/>
      <c r="C12" s="447"/>
      <c r="D12" s="447"/>
      <c r="E12" s="439"/>
      <c r="F12" s="441"/>
      <c r="G12" s="90">
        <v>782220</v>
      </c>
      <c r="H12" s="91" t="s">
        <v>1058</v>
      </c>
    </row>
    <row r="13" spans="1:9" ht="12.45" customHeight="1">
      <c r="A13" s="447"/>
      <c r="B13" s="447"/>
      <c r="C13" s="447"/>
      <c r="D13" s="447"/>
      <c r="E13" s="439"/>
      <c r="F13" s="441"/>
      <c r="G13" s="90">
        <v>782230</v>
      </c>
      <c r="H13" s="91" t="s">
        <v>1059</v>
      </c>
    </row>
    <row r="14" spans="1:9" ht="12.45" customHeight="1">
      <c r="A14" s="447"/>
      <c r="B14" s="447"/>
      <c r="C14" s="447"/>
      <c r="D14" s="447"/>
      <c r="E14" s="439"/>
      <c r="F14" s="441"/>
      <c r="G14" s="90">
        <v>783000</v>
      </c>
      <c r="H14" s="91" t="s">
        <v>1060</v>
      </c>
    </row>
    <row r="15" spans="1:9" ht="12.45" customHeight="1">
      <c r="A15" s="447"/>
      <c r="B15" s="447"/>
      <c r="C15" s="447"/>
      <c r="D15" s="447"/>
      <c r="E15" s="439"/>
      <c r="F15" s="441"/>
      <c r="G15" s="90">
        <v>784010</v>
      </c>
      <c r="H15" s="91" t="s">
        <v>1061</v>
      </c>
    </row>
    <row r="16" spans="1:9" ht="22.2" customHeight="1">
      <c r="A16" s="447"/>
      <c r="B16" s="447"/>
      <c r="C16" s="447"/>
      <c r="D16" s="447"/>
      <c r="E16" s="439"/>
      <c r="F16" s="441"/>
      <c r="G16" s="90">
        <v>784020</v>
      </c>
      <c r="H16" s="91" t="s">
        <v>1062</v>
      </c>
    </row>
    <row r="17" spans="1:9" ht="12.45" customHeight="1">
      <c r="A17" s="447"/>
      <c r="B17" s="447"/>
      <c r="C17" s="447"/>
      <c r="D17" s="447"/>
      <c r="E17" s="439"/>
      <c r="F17" s="441"/>
      <c r="G17" s="90">
        <v>784030</v>
      </c>
      <c r="H17" s="91" t="s">
        <v>1063</v>
      </c>
    </row>
    <row r="18" spans="1:9" ht="22.2" customHeight="1">
      <c r="A18" s="447"/>
      <c r="B18" s="447"/>
      <c r="C18" s="447"/>
      <c r="D18" s="447"/>
      <c r="E18" s="439"/>
      <c r="F18" s="441"/>
      <c r="G18" s="90">
        <v>784050</v>
      </c>
      <c r="H18" s="91" t="s">
        <v>1064</v>
      </c>
    </row>
    <row r="19" spans="1:9" ht="12.45" customHeight="1">
      <c r="A19" s="452"/>
      <c r="B19" s="452"/>
      <c r="C19" s="452"/>
      <c r="D19" s="452"/>
      <c r="E19" s="456"/>
      <c r="F19" s="455"/>
      <c r="G19" s="98">
        <v>785000</v>
      </c>
      <c r="H19" s="99" t="s">
        <v>1065</v>
      </c>
    </row>
    <row r="20" spans="1:9" ht="187.2" customHeight="1">
      <c r="A20" s="420" t="s">
        <v>1066</v>
      </c>
      <c r="B20" s="420"/>
      <c r="C20" s="420"/>
      <c r="D20" s="420"/>
      <c r="E20" s="420"/>
      <c r="F20" s="420"/>
      <c r="G20" s="420"/>
      <c r="H20" s="420"/>
      <c r="I20" s="420"/>
    </row>
    <row r="21" spans="1:9" ht="1.95" customHeight="1"/>
    <row r="22" spans="1:9" ht="23.25" customHeight="1">
      <c r="A22" s="434" t="s">
        <v>1067</v>
      </c>
      <c r="B22" s="434"/>
      <c r="C22" s="434"/>
      <c r="D22" s="434"/>
      <c r="E22" s="434"/>
      <c r="F22" s="434"/>
      <c r="G22" s="434"/>
      <c r="H22" s="434"/>
      <c r="I22" s="434"/>
    </row>
    <row r="23" spans="1:9" ht="69.75" customHeight="1">
      <c r="A23" s="420" t="s">
        <v>1068</v>
      </c>
      <c r="B23" s="420"/>
      <c r="C23" s="420"/>
      <c r="D23" s="420"/>
      <c r="E23" s="420"/>
      <c r="F23" s="420"/>
      <c r="G23" s="420"/>
      <c r="H23" s="420"/>
      <c r="I23" s="420"/>
    </row>
    <row r="24" spans="1:9" ht="3" customHeight="1"/>
    <row r="25" spans="1:9" ht="23.25" customHeight="1">
      <c r="A25" s="434" t="s">
        <v>1069</v>
      </c>
      <c r="B25" s="434"/>
      <c r="C25" s="434"/>
      <c r="D25" s="434"/>
      <c r="E25" s="434"/>
      <c r="F25" s="434"/>
      <c r="G25" s="434"/>
      <c r="H25" s="434"/>
      <c r="I25" s="434"/>
    </row>
    <row r="26" spans="1:9" ht="184.95" customHeight="1">
      <c r="A26" s="420" t="s">
        <v>1070</v>
      </c>
      <c r="B26" s="420"/>
      <c r="C26" s="420"/>
      <c r="D26" s="420"/>
      <c r="E26" s="420"/>
      <c r="F26" s="420"/>
      <c r="G26" s="420"/>
      <c r="H26" s="420"/>
      <c r="I26" s="420"/>
    </row>
    <row r="27" spans="1:9" ht="55.2" customHeight="1">
      <c r="A27" s="420" t="s">
        <v>1071</v>
      </c>
      <c r="B27" s="420"/>
      <c r="C27" s="420"/>
      <c r="D27" s="420"/>
      <c r="E27" s="420"/>
      <c r="F27" s="420"/>
      <c r="G27" s="420"/>
      <c r="H27" s="420"/>
      <c r="I27" s="420"/>
    </row>
    <row r="28" spans="1:9" ht="3" customHeight="1"/>
    <row r="29" spans="1:9" ht="23.25" customHeight="1">
      <c r="A29" s="434" t="s">
        <v>1072</v>
      </c>
      <c r="B29" s="434"/>
      <c r="C29" s="434"/>
      <c r="D29" s="434"/>
      <c r="E29" s="434"/>
      <c r="F29" s="434"/>
      <c r="G29" s="434"/>
      <c r="H29" s="434"/>
      <c r="I29" s="434"/>
    </row>
    <row r="30" spans="1:9" ht="102.45" customHeight="1">
      <c r="A30" s="420" t="s">
        <v>1073</v>
      </c>
      <c r="B30" s="420"/>
      <c r="C30" s="420"/>
      <c r="D30" s="420"/>
      <c r="E30" s="420"/>
      <c r="F30" s="420"/>
      <c r="G30" s="420"/>
      <c r="H30" s="420"/>
      <c r="I30" s="420"/>
    </row>
    <row r="31" spans="1:9" ht="164.7" customHeight="1">
      <c r="A31" s="420" t="s">
        <v>1074</v>
      </c>
      <c r="B31" s="420"/>
      <c r="C31" s="420"/>
      <c r="D31" s="420"/>
      <c r="E31" s="420"/>
      <c r="F31" s="420"/>
      <c r="G31" s="420"/>
      <c r="H31" s="420"/>
      <c r="I31" s="420"/>
    </row>
    <row r="32" spans="1:9" ht="3" customHeight="1"/>
  </sheetData>
  <mergeCells count="20">
    <mergeCell ref="A26:I26"/>
    <mergeCell ref="A27:I27"/>
    <mergeCell ref="A29:I29"/>
    <mergeCell ref="A30:I30"/>
    <mergeCell ref="A31:I31"/>
    <mergeCell ref="F5:F19"/>
    <mergeCell ref="A20:I20"/>
    <mergeCell ref="A22:I22"/>
    <mergeCell ref="A23:I23"/>
    <mergeCell ref="A25:I25"/>
    <mergeCell ref="A4:A19"/>
    <mergeCell ref="B4:B19"/>
    <mergeCell ref="C4:C19"/>
    <mergeCell ref="D4:D19"/>
    <mergeCell ref="E5:E19"/>
    <mergeCell ref="A1:I1"/>
    <mergeCell ref="A2:B2"/>
    <mergeCell ref="C2:D2"/>
    <mergeCell ref="E2:F2"/>
    <mergeCell ref="G2:H2"/>
  </mergeCells>
  <hyperlinks>
    <hyperlink ref="A27" r:id="rId1" display="https://ncses.nsf.gov/pubs/nsf23306/" xr:uid="{00000000-0004-0000-6900-000000000000}"/>
    <hyperlink ref="A30" r:id="rId2" display="mailto:lmilan@nsf.gov" xr:uid="{00000000-0004-0000-6900-000001000000}"/>
    <hyperlink ref="A31" r:id="rId3" display="mailto:ncsesweb@nsf.gov" xr:uid="{00000000-0004-0000-6900-000002000000}"/>
    <hyperlink ref="A23" location="'Table 98'!A45" display="bookmark30" xr:uid="{00000000-0004-0000-6900-000003000000}"/>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topLeftCell="A28"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14" t="s">
        <v>165</v>
      </c>
      <c r="B1" s="314"/>
      <c r="C1" s="314"/>
      <c r="D1" s="314"/>
      <c r="E1" s="314"/>
      <c r="F1" s="314"/>
      <c r="G1" s="314"/>
      <c r="H1" s="314"/>
      <c r="I1" s="314"/>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20" t="s">
        <v>178</v>
      </c>
      <c r="B5" s="107">
        <v>15014000</v>
      </c>
      <c r="C5" s="7">
        <v>11377000</v>
      </c>
      <c r="D5" s="7">
        <v>3499000</v>
      </c>
      <c r="E5" s="7">
        <v>1692000</v>
      </c>
      <c r="F5" s="7">
        <v>6187000</v>
      </c>
      <c r="G5" s="7">
        <v>719000</v>
      </c>
      <c r="H5" s="7">
        <v>2918000</v>
      </c>
      <c r="I5" s="204">
        <f>C5/B5</f>
        <v>0.75775942453709866</v>
      </c>
      <c r="J5" s="204">
        <f>G5/B5</f>
        <v>4.7888637271879579E-2</v>
      </c>
      <c r="K5" s="204">
        <f>H5/B5</f>
        <v>0.1943519381910217</v>
      </c>
    </row>
    <row r="6" spans="1:11" ht="24.75" customHeight="1">
      <c r="A6" s="121" t="s">
        <v>179</v>
      </c>
      <c r="B6" s="106">
        <v>2440000</v>
      </c>
      <c r="C6" s="11">
        <v>1773000</v>
      </c>
      <c r="D6" s="11">
        <v>371000</v>
      </c>
      <c r="E6" s="11">
        <v>489000</v>
      </c>
      <c r="F6" s="11">
        <v>913000</v>
      </c>
      <c r="G6" s="11">
        <v>125000</v>
      </c>
      <c r="H6" s="11">
        <v>542000</v>
      </c>
      <c r="I6" s="204">
        <f t="shared" ref="I6:I43" si="0">C6/B6</f>
        <v>0.72663934426229504</v>
      </c>
      <c r="J6" s="204">
        <f t="shared" ref="J6:J43" si="1">G6/B6</f>
        <v>5.1229508196721313E-2</v>
      </c>
      <c r="K6" s="204">
        <f t="shared" ref="K6:K43" si="2">H6/B6</f>
        <v>0.22213114754098362</v>
      </c>
    </row>
    <row r="7" spans="1:11" ht="24.75" customHeight="1">
      <c r="A7" s="122" t="s">
        <v>180</v>
      </c>
      <c r="B7" s="106">
        <v>320000</v>
      </c>
      <c r="C7" s="11">
        <v>239000</v>
      </c>
      <c r="D7" s="11">
        <v>39000</v>
      </c>
      <c r="E7" s="11">
        <v>33000</v>
      </c>
      <c r="F7" s="11">
        <v>167000</v>
      </c>
      <c r="G7" s="16" t="s">
        <v>191</v>
      </c>
      <c r="H7" s="11">
        <v>69000</v>
      </c>
      <c r="I7" s="204">
        <f t="shared" si="0"/>
        <v>0.74687499999999996</v>
      </c>
      <c r="J7" s="204" t="e">
        <f t="shared" si="1"/>
        <v>#VALUE!</v>
      </c>
      <c r="K7" s="204">
        <f t="shared" si="2"/>
        <v>0.21562500000000001</v>
      </c>
    </row>
    <row r="8" spans="1:11" ht="12.45" customHeight="1">
      <c r="A8" s="122" t="s">
        <v>181</v>
      </c>
      <c r="B8" s="105">
        <v>1824000</v>
      </c>
      <c r="C8" s="9">
        <v>1301000</v>
      </c>
      <c r="D8" s="9">
        <v>281000</v>
      </c>
      <c r="E8" s="9">
        <v>433000</v>
      </c>
      <c r="F8" s="9">
        <v>587000</v>
      </c>
      <c r="G8" s="9">
        <v>100000</v>
      </c>
      <c r="H8" s="9">
        <v>422000</v>
      </c>
      <c r="I8" s="204">
        <f t="shared" si="0"/>
        <v>0.71326754385964908</v>
      </c>
      <c r="J8" s="204">
        <f t="shared" si="1"/>
        <v>5.4824561403508769E-2</v>
      </c>
      <c r="K8" s="204">
        <f t="shared" si="2"/>
        <v>0.23135964912280702</v>
      </c>
    </row>
    <row r="9" spans="1:11" ht="12.45" customHeight="1">
      <c r="A9" s="122" t="s">
        <v>182</v>
      </c>
      <c r="B9" s="105">
        <v>297000</v>
      </c>
      <c r="C9" s="9">
        <v>232000</v>
      </c>
      <c r="D9" s="9">
        <v>51000</v>
      </c>
      <c r="E9" s="9">
        <v>23000</v>
      </c>
      <c r="F9" s="9">
        <v>159000</v>
      </c>
      <c r="G9" s="9">
        <v>14000</v>
      </c>
      <c r="H9" s="9">
        <v>51000</v>
      </c>
      <c r="I9" s="204">
        <f t="shared" si="0"/>
        <v>0.78114478114478114</v>
      </c>
      <c r="J9" s="204">
        <f t="shared" si="1"/>
        <v>4.7138047138047139E-2</v>
      </c>
      <c r="K9" s="204">
        <f t="shared" si="2"/>
        <v>0.17171717171717171</v>
      </c>
    </row>
    <row r="10" spans="1:11" ht="24.75" customHeight="1">
      <c r="A10" s="121" t="s">
        <v>183</v>
      </c>
      <c r="B10" s="106">
        <v>2623000</v>
      </c>
      <c r="C10" s="11">
        <v>2133000</v>
      </c>
      <c r="D10" s="11">
        <v>1137000</v>
      </c>
      <c r="E10" s="11">
        <v>321000</v>
      </c>
      <c r="F10" s="11">
        <v>675000</v>
      </c>
      <c r="G10" s="11">
        <v>106000</v>
      </c>
      <c r="H10" s="11">
        <v>384000</v>
      </c>
      <c r="I10" s="204">
        <f t="shared" si="0"/>
        <v>0.81319100266869992</v>
      </c>
      <c r="J10" s="204">
        <f t="shared" si="1"/>
        <v>4.0411742279832255E-2</v>
      </c>
      <c r="K10" s="204">
        <f t="shared" si="2"/>
        <v>0.14639725505146778</v>
      </c>
    </row>
    <row r="11" spans="1:11" ht="24.75" customHeight="1">
      <c r="A11" s="122" t="s">
        <v>184</v>
      </c>
      <c r="B11" s="106">
        <v>1994000</v>
      </c>
      <c r="C11" s="11">
        <v>1694000</v>
      </c>
      <c r="D11" s="11">
        <v>1024000</v>
      </c>
      <c r="E11" s="11">
        <v>214000</v>
      </c>
      <c r="F11" s="11">
        <v>456000</v>
      </c>
      <c r="G11" s="11">
        <v>85000</v>
      </c>
      <c r="H11" s="11">
        <v>216000</v>
      </c>
      <c r="I11" s="204">
        <f t="shared" si="0"/>
        <v>0.84954864593781343</v>
      </c>
      <c r="J11" s="204">
        <f t="shared" si="1"/>
        <v>4.2627883650952859E-2</v>
      </c>
      <c r="K11" s="204">
        <f t="shared" si="2"/>
        <v>0.10832497492477432</v>
      </c>
    </row>
    <row r="12" spans="1:11" ht="12.45" customHeight="1">
      <c r="A12" s="122" t="s">
        <v>185</v>
      </c>
      <c r="B12" s="105">
        <v>628000</v>
      </c>
      <c r="C12" s="9">
        <v>440000</v>
      </c>
      <c r="D12" s="9">
        <v>113000</v>
      </c>
      <c r="E12" s="9">
        <v>107000</v>
      </c>
      <c r="F12" s="9">
        <v>219000</v>
      </c>
      <c r="G12" s="9">
        <v>21000</v>
      </c>
      <c r="H12" s="9">
        <v>168000</v>
      </c>
      <c r="I12" s="204">
        <f t="shared" si="0"/>
        <v>0.70063694267515919</v>
      </c>
      <c r="J12" s="204">
        <f t="shared" si="1"/>
        <v>3.3439490445859872E-2</v>
      </c>
      <c r="K12" s="204">
        <f t="shared" si="2"/>
        <v>0.26751592356687898</v>
      </c>
    </row>
    <row r="13" spans="1:11" ht="12.45" customHeight="1">
      <c r="A13" s="121" t="s">
        <v>186</v>
      </c>
      <c r="B13" s="105">
        <v>692000</v>
      </c>
      <c r="C13" s="9">
        <v>517000</v>
      </c>
      <c r="D13" s="9">
        <v>199000</v>
      </c>
      <c r="E13" s="9">
        <v>99000</v>
      </c>
      <c r="F13" s="9">
        <v>218000</v>
      </c>
      <c r="G13" s="9">
        <v>31000</v>
      </c>
      <c r="H13" s="9">
        <v>144000</v>
      </c>
      <c r="I13" s="204">
        <f t="shared" si="0"/>
        <v>0.74710982658959535</v>
      </c>
      <c r="J13" s="204">
        <f t="shared" si="1"/>
        <v>4.4797687861271675E-2</v>
      </c>
      <c r="K13" s="204">
        <f t="shared" si="2"/>
        <v>0.20809248554913296</v>
      </c>
    </row>
    <row r="14" spans="1:11" ht="24.75" customHeight="1">
      <c r="A14" s="122" t="s">
        <v>187</v>
      </c>
      <c r="B14" s="106">
        <v>301000</v>
      </c>
      <c r="C14" s="11">
        <v>221000</v>
      </c>
      <c r="D14" s="11">
        <v>93000</v>
      </c>
      <c r="E14" s="11">
        <v>55000</v>
      </c>
      <c r="F14" s="11">
        <v>73000</v>
      </c>
      <c r="G14" s="11">
        <v>12000</v>
      </c>
      <c r="H14" s="11">
        <v>68000</v>
      </c>
      <c r="I14" s="204">
        <f t="shared" si="0"/>
        <v>0.73421926910299007</v>
      </c>
      <c r="J14" s="204">
        <f t="shared" si="1"/>
        <v>3.9867109634551492E-2</v>
      </c>
      <c r="K14" s="204">
        <f t="shared" si="2"/>
        <v>0.22591362126245848</v>
      </c>
    </row>
    <row r="15" spans="1:11" ht="24.75" customHeight="1">
      <c r="A15" s="122" t="s">
        <v>188</v>
      </c>
      <c r="B15" s="106">
        <v>213000</v>
      </c>
      <c r="C15" s="11">
        <v>172000</v>
      </c>
      <c r="D15" s="11">
        <v>54000</v>
      </c>
      <c r="E15" s="11">
        <v>24000</v>
      </c>
      <c r="F15" s="11">
        <v>94000</v>
      </c>
      <c r="G15" s="11">
        <v>5000</v>
      </c>
      <c r="H15" s="11">
        <v>37000</v>
      </c>
      <c r="I15" s="204">
        <f t="shared" si="0"/>
        <v>0.80751173708920188</v>
      </c>
      <c r="J15" s="204">
        <f t="shared" si="1"/>
        <v>2.3474178403755867E-2</v>
      </c>
      <c r="K15" s="204">
        <f t="shared" si="2"/>
        <v>0.17370892018779344</v>
      </c>
    </row>
    <row r="16" spans="1:11" ht="12.45" customHeight="1">
      <c r="A16" s="122" t="s">
        <v>189</v>
      </c>
      <c r="B16" s="105">
        <v>154000</v>
      </c>
      <c r="C16" s="9">
        <v>106000</v>
      </c>
      <c r="D16" s="9">
        <v>49000</v>
      </c>
      <c r="E16" s="9">
        <v>16000</v>
      </c>
      <c r="F16" s="9">
        <v>40000</v>
      </c>
      <c r="G16" s="9">
        <v>12000</v>
      </c>
      <c r="H16" s="9">
        <v>35000</v>
      </c>
      <c r="I16" s="204">
        <f t="shared" si="0"/>
        <v>0.68831168831168832</v>
      </c>
      <c r="J16" s="204">
        <f t="shared" si="1"/>
        <v>7.792207792207792E-2</v>
      </c>
      <c r="K16" s="204">
        <f t="shared" si="2"/>
        <v>0.22727272727272727</v>
      </c>
    </row>
    <row r="17" spans="1:11" ht="12.45" customHeight="1">
      <c r="A17" s="122" t="s">
        <v>190</v>
      </c>
      <c r="B17" s="105">
        <v>23000</v>
      </c>
      <c r="C17" s="9">
        <v>17000</v>
      </c>
      <c r="D17" s="13" t="s">
        <v>191</v>
      </c>
      <c r="E17" s="9">
        <v>4000</v>
      </c>
      <c r="F17" s="9">
        <v>11000</v>
      </c>
      <c r="G17" s="13" t="s">
        <v>191</v>
      </c>
      <c r="H17" s="13" t="s">
        <v>191</v>
      </c>
      <c r="I17" s="204">
        <f t="shared" si="0"/>
        <v>0.73913043478260865</v>
      </c>
      <c r="J17" s="204" t="e">
        <f t="shared" si="1"/>
        <v>#VALUE!</v>
      </c>
      <c r="K17" s="204" t="e">
        <f t="shared" si="2"/>
        <v>#VALUE!</v>
      </c>
    </row>
    <row r="18" spans="1:11" ht="12.45" customHeight="1">
      <c r="A18" s="121" t="s">
        <v>192</v>
      </c>
      <c r="B18" s="105">
        <v>5858000</v>
      </c>
      <c r="C18" s="9">
        <v>4229000</v>
      </c>
      <c r="D18" s="9">
        <v>321000</v>
      </c>
      <c r="E18" s="9">
        <v>353000</v>
      </c>
      <c r="F18" s="9">
        <v>3554000</v>
      </c>
      <c r="G18" s="9">
        <v>326000</v>
      </c>
      <c r="H18" s="9">
        <v>1303000</v>
      </c>
      <c r="I18" s="204">
        <f t="shared" si="0"/>
        <v>0.72191874359849784</v>
      </c>
      <c r="J18" s="204">
        <f t="shared" si="1"/>
        <v>5.565039262546944E-2</v>
      </c>
      <c r="K18" s="204">
        <f t="shared" si="2"/>
        <v>0.22243086377603277</v>
      </c>
    </row>
    <row r="19" spans="1:11" ht="12.45" customHeight="1">
      <c r="A19" s="122" t="s">
        <v>193</v>
      </c>
      <c r="B19" s="105">
        <v>937000</v>
      </c>
      <c r="C19" s="9">
        <v>714000</v>
      </c>
      <c r="D19" s="9">
        <v>67000</v>
      </c>
      <c r="E19" s="9">
        <v>34000</v>
      </c>
      <c r="F19" s="9">
        <v>613000</v>
      </c>
      <c r="G19" s="9">
        <v>34000</v>
      </c>
      <c r="H19" s="9">
        <v>189000</v>
      </c>
      <c r="I19" s="204">
        <f t="shared" si="0"/>
        <v>0.7620064034151548</v>
      </c>
      <c r="J19" s="204">
        <f t="shared" si="1"/>
        <v>3.6286019210245463E-2</v>
      </c>
      <c r="K19" s="204">
        <f t="shared" si="2"/>
        <v>0.20170757737459979</v>
      </c>
    </row>
    <row r="20" spans="1:11" ht="12.45" customHeight="1">
      <c r="A20" s="123" t="s">
        <v>194</v>
      </c>
      <c r="B20" s="105">
        <v>1088000</v>
      </c>
      <c r="C20" s="9">
        <v>777000</v>
      </c>
      <c r="D20" s="9">
        <v>52000</v>
      </c>
      <c r="E20" s="9">
        <v>53000</v>
      </c>
      <c r="F20" s="9">
        <v>671000</v>
      </c>
      <c r="G20" s="9">
        <v>72000</v>
      </c>
      <c r="H20" s="9">
        <v>239000</v>
      </c>
      <c r="I20" s="204">
        <f t="shared" si="0"/>
        <v>0.71415441176470584</v>
      </c>
      <c r="J20" s="204">
        <f t="shared" si="1"/>
        <v>6.6176470588235295E-2</v>
      </c>
      <c r="K20" s="204">
        <f t="shared" si="2"/>
        <v>0.21966911764705882</v>
      </c>
    </row>
    <row r="21" spans="1:11" ht="12.45" customHeight="1">
      <c r="A21" s="122" t="s">
        <v>195</v>
      </c>
      <c r="B21" s="105">
        <v>2112000</v>
      </c>
      <c r="C21" s="9">
        <v>1521000</v>
      </c>
      <c r="D21" s="9">
        <v>108000</v>
      </c>
      <c r="E21" s="9">
        <v>146000</v>
      </c>
      <c r="F21" s="9">
        <v>1267000</v>
      </c>
      <c r="G21" s="9">
        <v>113000</v>
      </c>
      <c r="H21" s="9">
        <v>478000</v>
      </c>
      <c r="I21" s="204">
        <f t="shared" si="0"/>
        <v>0.72017045454545459</v>
      </c>
      <c r="J21" s="204">
        <f t="shared" si="1"/>
        <v>5.350378787878788E-2</v>
      </c>
      <c r="K21" s="204">
        <f t="shared" si="2"/>
        <v>0.22632575757575757</v>
      </c>
    </row>
    <row r="22" spans="1:11" ht="12.45" customHeight="1">
      <c r="A22" s="122" t="s">
        <v>196</v>
      </c>
      <c r="B22" s="105">
        <v>1132000</v>
      </c>
      <c r="C22" s="9">
        <v>800000</v>
      </c>
      <c r="D22" s="9">
        <v>54000</v>
      </c>
      <c r="E22" s="9">
        <v>66000</v>
      </c>
      <c r="F22" s="9">
        <v>680000</v>
      </c>
      <c r="G22" s="9">
        <v>64000</v>
      </c>
      <c r="H22" s="9">
        <v>268000</v>
      </c>
      <c r="I22" s="204">
        <f t="shared" si="0"/>
        <v>0.70671378091872794</v>
      </c>
      <c r="J22" s="204">
        <f t="shared" si="1"/>
        <v>5.6537102473498232E-2</v>
      </c>
      <c r="K22" s="204">
        <f t="shared" si="2"/>
        <v>0.23674911660777384</v>
      </c>
    </row>
    <row r="23" spans="1:11" ht="12.45" customHeight="1">
      <c r="A23" s="122" t="s">
        <v>197</v>
      </c>
      <c r="B23" s="105">
        <v>589000</v>
      </c>
      <c r="C23" s="9">
        <v>417000</v>
      </c>
      <c r="D23" s="9">
        <v>39000</v>
      </c>
      <c r="E23" s="9">
        <v>55000</v>
      </c>
      <c r="F23" s="9">
        <v>323000</v>
      </c>
      <c r="G23" s="9">
        <v>43000</v>
      </c>
      <c r="H23" s="9">
        <v>128000</v>
      </c>
      <c r="I23" s="204">
        <f t="shared" si="0"/>
        <v>0.70797962648556878</v>
      </c>
      <c r="J23" s="204">
        <f t="shared" si="1"/>
        <v>7.3005093378607805E-2</v>
      </c>
      <c r="K23" s="204">
        <f t="shared" si="2"/>
        <v>0.21731748726655348</v>
      </c>
    </row>
    <row r="24" spans="1:11" ht="12.45" customHeight="1">
      <c r="A24" s="121" t="s">
        <v>198</v>
      </c>
      <c r="B24" s="105">
        <v>3402000</v>
      </c>
      <c r="C24" s="9">
        <v>2725000</v>
      </c>
      <c r="D24" s="9">
        <v>1470000</v>
      </c>
      <c r="E24" s="9">
        <v>428000</v>
      </c>
      <c r="F24" s="9">
        <v>827000</v>
      </c>
      <c r="G24" s="9">
        <v>131000</v>
      </c>
      <c r="H24" s="9">
        <v>546000</v>
      </c>
      <c r="I24" s="204">
        <f t="shared" si="0"/>
        <v>0.80099941211052317</v>
      </c>
      <c r="J24" s="204">
        <f t="shared" si="1"/>
        <v>3.8506760728982951E-2</v>
      </c>
      <c r="K24" s="204">
        <f t="shared" si="2"/>
        <v>0.16049382716049382</v>
      </c>
    </row>
    <row r="25" spans="1:11" ht="24.75" customHeight="1">
      <c r="A25" s="122" t="s">
        <v>199</v>
      </c>
      <c r="B25" s="106">
        <v>114000</v>
      </c>
      <c r="C25" s="11">
        <v>86000</v>
      </c>
      <c r="D25" s="11">
        <v>47000</v>
      </c>
      <c r="E25" s="11">
        <v>9000</v>
      </c>
      <c r="F25" s="11">
        <v>30000</v>
      </c>
      <c r="G25" s="11">
        <v>4000</v>
      </c>
      <c r="H25" s="11">
        <v>23000</v>
      </c>
      <c r="I25" s="204">
        <f t="shared" si="0"/>
        <v>0.75438596491228072</v>
      </c>
      <c r="J25" s="204">
        <f t="shared" si="1"/>
        <v>3.5087719298245612E-2</v>
      </c>
      <c r="K25" s="204">
        <f t="shared" si="2"/>
        <v>0.20175438596491227</v>
      </c>
    </row>
    <row r="26" spans="1:11" ht="12.45" customHeight="1">
      <c r="A26" s="122" t="s">
        <v>200</v>
      </c>
      <c r="B26" s="105">
        <v>248000</v>
      </c>
      <c r="C26" s="9">
        <v>202000</v>
      </c>
      <c r="D26" s="9">
        <v>112000</v>
      </c>
      <c r="E26" s="9">
        <v>25000</v>
      </c>
      <c r="F26" s="9">
        <v>65000</v>
      </c>
      <c r="G26" s="9">
        <v>7000</v>
      </c>
      <c r="H26" s="9">
        <v>38000</v>
      </c>
      <c r="I26" s="204">
        <f t="shared" si="0"/>
        <v>0.81451612903225812</v>
      </c>
      <c r="J26" s="204">
        <f t="shared" si="1"/>
        <v>2.8225806451612902E-2</v>
      </c>
      <c r="K26" s="204">
        <f t="shared" si="2"/>
        <v>0.15322580645161291</v>
      </c>
    </row>
    <row r="27" spans="1:11" ht="24.75" customHeight="1">
      <c r="A27" s="122" t="s">
        <v>201</v>
      </c>
      <c r="B27" s="106">
        <v>497000</v>
      </c>
      <c r="C27" s="11">
        <v>395000</v>
      </c>
      <c r="D27" s="11">
        <v>194000</v>
      </c>
      <c r="E27" s="11">
        <v>73000</v>
      </c>
      <c r="F27" s="11">
        <v>128000</v>
      </c>
      <c r="G27" s="11">
        <v>9000</v>
      </c>
      <c r="H27" s="11">
        <v>93000</v>
      </c>
      <c r="I27" s="204">
        <f t="shared" si="0"/>
        <v>0.79476861167002011</v>
      </c>
      <c r="J27" s="204">
        <f t="shared" si="1"/>
        <v>1.8108651911468814E-2</v>
      </c>
      <c r="K27" s="204">
        <f t="shared" si="2"/>
        <v>0.18712273641851107</v>
      </c>
    </row>
    <row r="28" spans="1:11" ht="24.75" customHeight="1">
      <c r="A28" s="122" t="s">
        <v>202</v>
      </c>
      <c r="B28" s="106">
        <v>1145000</v>
      </c>
      <c r="C28" s="11">
        <v>924000</v>
      </c>
      <c r="D28" s="11">
        <v>569000</v>
      </c>
      <c r="E28" s="11">
        <v>156000</v>
      </c>
      <c r="F28" s="11">
        <v>198000</v>
      </c>
      <c r="G28" s="11">
        <v>50000</v>
      </c>
      <c r="H28" s="11">
        <v>171000</v>
      </c>
      <c r="I28" s="204">
        <f t="shared" si="0"/>
        <v>0.80698689956331882</v>
      </c>
      <c r="J28" s="204">
        <f t="shared" si="1"/>
        <v>4.3668122270742356E-2</v>
      </c>
      <c r="K28" s="204">
        <f t="shared" si="2"/>
        <v>0.14934497816593886</v>
      </c>
    </row>
    <row r="29" spans="1:11" ht="12.45" customHeight="1">
      <c r="A29" s="122" t="s">
        <v>203</v>
      </c>
      <c r="B29" s="105">
        <v>209000</v>
      </c>
      <c r="C29" s="9">
        <v>154000</v>
      </c>
      <c r="D29" s="9">
        <v>46000</v>
      </c>
      <c r="E29" s="9">
        <v>26000</v>
      </c>
      <c r="F29" s="9">
        <v>82000</v>
      </c>
      <c r="G29" s="13" t="s">
        <v>191</v>
      </c>
      <c r="H29" s="9">
        <v>45000</v>
      </c>
      <c r="I29" s="204">
        <f t="shared" si="0"/>
        <v>0.73684210526315785</v>
      </c>
      <c r="J29" s="204" t="e">
        <f t="shared" si="1"/>
        <v>#VALUE!</v>
      </c>
      <c r="K29" s="204">
        <f t="shared" si="2"/>
        <v>0.21531100478468901</v>
      </c>
    </row>
    <row r="30" spans="1:11" ht="12.45" customHeight="1">
      <c r="A30" s="122" t="s">
        <v>204</v>
      </c>
      <c r="B30" s="105">
        <v>799000</v>
      </c>
      <c r="C30" s="9">
        <v>660000</v>
      </c>
      <c r="D30" s="9">
        <v>372000</v>
      </c>
      <c r="E30" s="9">
        <v>85000</v>
      </c>
      <c r="F30" s="9">
        <v>203000</v>
      </c>
      <c r="G30" s="9">
        <v>29000</v>
      </c>
      <c r="H30" s="9">
        <v>110000</v>
      </c>
      <c r="I30" s="204">
        <f t="shared" si="0"/>
        <v>0.82603254067584475</v>
      </c>
      <c r="J30" s="204">
        <f t="shared" si="1"/>
        <v>3.629536921151439E-2</v>
      </c>
      <c r="K30" s="204">
        <f t="shared" si="2"/>
        <v>0.13767209011264081</v>
      </c>
    </row>
    <row r="31" spans="1:11" ht="12.45" customHeight="1">
      <c r="A31" s="122" t="s">
        <v>205</v>
      </c>
      <c r="B31" s="105">
        <v>391000</v>
      </c>
      <c r="C31" s="9">
        <v>304000</v>
      </c>
      <c r="D31" s="9">
        <v>130000</v>
      </c>
      <c r="E31" s="9">
        <v>52000</v>
      </c>
      <c r="F31" s="9">
        <v>121000</v>
      </c>
      <c r="G31" s="9">
        <v>23000</v>
      </c>
      <c r="H31" s="9">
        <v>64000</v>
      </c>
      <c r="I31" s="204">
        <f t="shared" si="0"/>
        <v>0.77749360613810736</v>
      </c>
      <c r="J31" s="204">
        <f t="shared" si="1"/>
        <v>5.8823529411764705E-2</v>
      </c>
      <c r="K31" s="204">
        <f t="shared" si="2"/>
        <v>0.16368286445012789</v>
      </c>
    </row>
    <row r="32" spans="1:11" ht="12.45" customHeight="1">
      <c r="A32" s="120" t="s">
        <v>206</v>
      </c>
      <c r="B32" s="105">
        <v>5017000</v>
      </c>
      <c r="C32" s="9">
        <v>3821000</v>
      </c>
      <c r="D32" s="9">
        <v>203000</v>
      </c>
      <c r="E32" s="9">
        <v>2494000</v>
      </c>
      <c r="F32" s="9">
        <v>1123000</v>
      </c>
      <c r="G32" s="9">
        <v>149000</v>
      </c>
      <c r="H32" s="9">
        <v>1048000</v>
      </c>
      <c r="I32" s="204">
        <f t="shared" si="0"/>
        <v>0.76161052421765996</v>
      </c>
      <c r="J32" s="204">
        <f t="shared" si="1"/>
        <v>2.9699023320709589E-2</v>
      </c>
      <c r="K32" s="204">
        <f t="shared" si="2"/>
        <v>0.20888977476579629</v>
      </c>
    </row>
    <row r="33" spans="1:11" ht="12.45" customHeight="1">
      <c r="A33" s="121" t="s">
        <v>207</v>
      </c>
      <c r="B33" s="105">
        <v>3814000</v>
      </c>
      <c r="C33" s="9">
        <v>2912000</v>
      </c>
      <c r="D33" s="9">
        <v>57000</v>
      </c>
      <c r="E33" s="9">
        <v>2187000</v>
      </c>
      <c r="F33" s="9">
        <v>669000</v>
      </c>
      <c r="G33" s="9">
        <v>114000</v>
      </c>
      <c r="H33" s="9">
        <v>788000</v>
      </c>
      <c r="I33" s="204">
        <f t="shared" si="0"/>
        <v>0.7635028841111694</v>
      </c>
      <c r="J33" s="204">
        <f t="shared" si="1"/>
        <v>2.9889879391714735E-2</v>
      </c>
      <c r="K33" s="204">
        <f t="shared" si="2"/>
        <v>0.20660723649711588</v>
      </c>
    </row>
    <row r="34" spans="1:11" ht="24.75" customHeight="1">
      <c r="A34" s="121" t="s">
        <v>208</v>
      </c>
      <c r="B34" s="106">
        <v>270000</v>
      </c>
      <c r="C34" s="11">
        <v>171000</v>
      </c>
      <c r="D34" s="16" t="s">
        <v>191</v>
      </c>
      <c r="E34" s="11">
        <v>90000</v>
      </c>
      <c r="F34" s="11">
        <v>70000</v>
      </c>
      <c r="G34" s="16" t="s">
        <v>191</v>
      </c>
      <c r="H34" s="11">
        <v>95000</v>
      </c>
      <c r="I34" s="204">
        <f t="shared" si="0"/>
        <v>0.6333333333333333</v>
      </c>
      <c r="J34" s="204" t="e">
        <f t="shared" si="1"/>
        <v>#VALUE!</v>
      </c>
      <c r="K34" s="204">
        <f t="shared" si="2"/>
        <v>0.35185185185185186</v>
      </c>
    </row>
    <row r="35" spans="1:11" ht="12.45" customHeight="1">
      <c r="A35" s="123" t="s">
        <v>209</v>
      </c>
      <c r="B35" s="105">
        <v>512000</v>
      </c>
      <c r="C35" s="9">
        <v>393000</v>
      </c>
      <c r="D35" s="9">
        <v>117000</v>
      </c>
      <c r="E35" s="9">
        <v>77000</v>
      </c>
      <c r="F35" s="9">
        <v>198000</v>
      </c>
      <c r="G35" s="9">
        <v>17000</v>
      </c>
      <c r="H35" s="9">
        <v>102000</v>
      </c>
      <c r="I35" s="204">
        <f t="shared" si="0"/>
        <v>0.767578125</v>
      </c>
      <c r="J35" s="204">
        <f t="shared" si="1"/>
        <v>3.3203125E-2</v>
      </c>
      <c r="K35" s="204">
        <f t="shared" si="2"/>
        <v>0.19921875</v>
      </c>
    </row>
    <row r="36" spans="1:11" ht="12.45" customHeight="1">
      <c r="A36" s="121" t="s">
        <v>210</v>
      </c>
      <c r="B36" s="105">
        <v>421000</v>
      </c>
      <c r="C36" s="9">
        <v>344000</v>
      </c>
      <c r="D36" s="9">
        <v>18000</v>
      </c>
      <c r="E36" s="9">
        <v>141000</v>
      </c>
      <c r="F36" s="9">
        <v>186000</v>
      </c>
      <c r="G36" s="9">
        <v>13000</v>
      </c>
      <c r="H36" s="9">
        <v>63000</v>
      </c>
      <c r="I36" s="204">
        <f t="shared" si="0"/>
        <v>0.81710213776722085</v>
      </c>
      <c r="J36" s="204">
        <f t="shared" si="1"/>
        <v>3.0878859857482184E-2</v>
      </c>
      <c r="K36" s="204">
        <f t="shared" si="2"/>
        <v>0.1496437054631829</v>
      </c>
    </row>
    <row r="37" spans="1:11" ht="12.45" customHeight="1">
      <c r="A37" s="120" t="s">
        <v>211</v>
      </c>
      <c r="B37" s="105">
        <v>22838000</v>
      </c>
      <c r="C37" s="9">
        <v>16491000</v>
      </c>
      <c r="D37" s="9">
        <v>736000</v>
      </c>
      <c r="E37" s="9">
        <v>845000</v>
      </c>
      <c r="F37" s="9">
        <v>14909000</v>
      </c>
      <c r="G37" s="9">
        <v>1481000</v>
      </c>
      <c r="H37" s="9">
        <v>4866000</v>
      </c>
      <c r="I37" s="204">
        <f t="shared" si="0"/>
        <v>0.72208599702250631</v>
      </c>
      <c r="J37" s="204">
        <f t="shared" si="1"/>
        <v>6.4848060250459763E-2</v>
      </c>
      <c r="K37" s="204">
        <f t="shared" si="2"/>
        <v>0.21306594272703389</v>
      </c>
    </row>
    <row r="38" spans="1:11" ht="24.75" customHeight="1">
      <c r="A38" s="121" t="s">
        <v>212</v>
      </c>
      <c r="B38" s="106">
        <v>8222000</v>
      </c>
      <c r="C38" s="11">
        <v>6113000</v>
      </c>
      <c r="D38" s="11">
        <v>292000</v>
      </c>
      <c r="E38" s="11">
        <v>263000</v>
      </c>
      <c r="F38" s="11">
        <v>5558000</v>
      </c>
      <c r="G38" s="11">
        <v>488000</v>
      </c>
      <c r="H38" s="11">
        <v>1621000</v>
      </c>
      <c r="I38" s="204">
        <f t="shared" si="0"/>
        <v>0.74349306738019949</v>
      </c>
      <c r="J38" s="204">
        <f t="shared" si="1"/>
        <v>5.9352955485283389E-2</v>
      </c>
      <c r="K38" s="204">
        <f t="shared" si="2"/>
        <v>0.19715397713451716</v>
      </c>
    </row>
    <row r="39" spans="1:11" ht="24.75" customHeight="1">
      <c r="A39" s="121" t="s">
        <v>213</v>
      </c>
      <c r="B39" s="106">
        <v>3067000</v>
      </c>
      <c r="C39" s="11">
        <v>1960000</v>
      </c>
      <c r="D39" s="11">
        <v>32000</v>
      </c>
      <c r="E39" s="11">
        <v>140000</v>
      </c>
      <c r="F39" s="11">
        <v>1788000</v>
      </c>
      <c r="G39" s="11">
        <v>86000</v>
      </c>
      <c r="H39" s="11">
        <v>1021000</v>
      </c>
      <c r="I39" s="204">
        <f t="shared" si="0"/>
        <v>0.63906097163351805</v>
      </c>
      <c r="J39" s="204">
        <f t="shared" si="1"/>
        <v>2.8040430388001303E-2</v>
      </c>
      <c r="K39" s="204">
        <f t="shared" si="2"/>
        <v>0.33289859797848059</v>
      </c>
    </row>
    <row r="40" spans="1:11" ht="12.45" customHeight="1">
      <c r="A40" s="123" t="s">
        <v>214</v>
      </c>
      <c r="B40" s="105">
        <v>790000</v>
      </c>
      <c r="C40" s="9">
        <v>542000</v>
      </c>
      <c r="D40" s="9">
        <v>26000</v>
      </c>
      <c r="E40" s="9">
        <v>18000</v>
      </c>
      <c r="F40" s="9">
        <v>498000</v>
      </c>
      <c r="G40" s="9">
        <v>59000</v>
      </c>
      <c r="H40" s="9">
        <v>189000</v>
      </c>
      <c r="I40" s="204">
        <f t="shared" si="0"/>
        <v>0.6860759493670886</v>
      </c>
      <c r="J40" s="204">
        <f t="shared" si="1"/>
        <v>7.4683544303797464E-2</v>
      </c>
      <c r="K40" s="204">
        <f t="shared" si="2"/>
        <v>0.23924050632911392</v>
      </c>
    </row>
    <row r="41" spans="1:11" ht="12.45" customHeight="1">
      <c r="A41" s="121" t="s">
        <v>215</v>
      </c>
      <c r="B41" s="105">
        <v>1338000</v>
      </c>
      <c r="C41" s="9">
        <v>1078000</v>
      </c>
      <c r="D41" s="9">
        <v>44000</v>
      </c>
      <c r="E41" s="9">
        <v>51000</v>
      </c>
      <c r="F41" s="9">
        <v>982000</v>
      </c>
      <c r="G41" s="9">
        <v>50000</v>
      </c>
      <c r="H41" s="9">
        <v>210000</v>
      </c>
      <c r="I41" s="204">
        <f t="shared" si="0"/>
        <v>0.8056801195814649</v>
      </c>
      <c r="J41" s="204">
        <f t="shared" si="1"/>
        <v>3.7369207772795218E-2</v>
      </c>
      <c r="K41" s="204">
        <f t="shared" si="2"/>
        <v>0.15695067264573992</v>
      </c>
    </row>
    <row r="42" spans="1:11" ht="12.45" customHeight="1">
      <c r="A42" s="121" t="s">
        <v>216</v>
      </c>
      <c r="B42" s="105">
        <v>5089000</v>
      </c>
      <c r="C42" s="9">
        <v>3626000</v>
      </c>
      <c r="D42" s="9">
        <v>231000</v>
      </c>
      <c r="E42" s="9">
        <v>251000</v>
      </c>
      <c r="F42" s="9">
        <v>3145000</v>
      </c>
      <c r="G42" s="9">
        <v>409000</v>
      </c>
      <c r="H42" s="9">
        <v>1055000</v>
      </c>
      <c r="I42" s="204">
        <f t="shared" si="0"/>
        <v>0.71251719394773039</v>
      </c>
      <c r="J42" s="204">
        <f t="shared" si="1"/>
        <v>8.0369424248378854E-2</v>
      </c>
      <c r="K42" s="204">
        <f t="shared" si="2"/>
        <v>0.20730988406366674</v>
      </c>
    </row>
    <row r="43" spans="1:11" ht="12.45" customHeight="1">
      <c r="A43" s="121" t="s">
        <v>217</v>
      </c>
      <c r="B43" s="105">
        <v>4332000</v>
      </c>
      <c r="C43" s="9">
        <v>3172000</v>
      </c>
      <c r="D43" s="9">
        <v>112000</v>
      </c>
      <c r="E43" s="9">
        <v>122000</v>
      </c>
      <c r="F43" s="9">
        <v>2938000</v>
      </c>
      <c r="G43" s="9">
        <v>390000</v>
      </c>
      <c r="H43" s="9">
        <v>771000</v>
      </c>
      <c r="I43" s="204">
        <f t="shared" si="0"/>
        <v>0.73222530009233611</v>
      </c>
      <c r="J43" s="204">
        <f t="shared" si="1"/>
        <v>9.0027700831024932E-2</v>
      </c>
      <c r="K43" s="204">
        <f t="shared" si="2"/>
        <v>0.17797783933518005</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3"/>
  <sheetViews>
    <sheetView topLeftCell="A22"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14" t="s">
        <v>165</v>
      </c>
      <c r="B1" s="314"/>
      <c r="C1" s="314"/>
      <c r="D1" s="314"/>
      <c r="E1" s="314"/>
      <c r="F1" s="314"/>
      <c r="G1" s="314"/>
      <c r="H1" s="314"/>
      <c r="I1" s="314"/>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14" t="s">
        <v>219</v>
      </c>
      <c r="B5" s="113">
        <v>19296000</v>
      </c>
      <c r="C5" s="103">
        <v>14688000</v>
      </c>
      <c r="D5" s="103">
        <v>2411000</v>
      </c>
      <c r="E5" s="103">
        <v>2578000</v>
      </c>
      <c r="F5" s="103">
        <v>9699000</v>
      </c>
      <c r="G5" s="103">
        <v>673000</v>
      </c>
      <c r="H5" s="103">
        <v>3934000</v>
      </c>
      <c r="I5" s="204">
        <f>C5/B5</f>
        <v>0.76119402985074625</v>
      </c>
      <c r="J5" s="204">
        <f>G5/B5</f>
        <v>3.487769485903814E-2</v>
      </c>
      <c r="K5" s="204">
        <f>H5/B5</f>
        <v>0.20387645107794361</v>
      </c>
    </row>
    <row r="6" spans="1:11" ht="12.45" customHeight="1">
      <c r="A6" s="115" t="s">
        <v>178</v>
      </c>
      <c r="B6" s="105">
        <v>4703000</v>
      </c>
      <c r="C6" s="9">
        <v>3680000</v>
      </c>
      <c r="D6" s="9">
        <v>1671000</v>
      </c>
      <c r="E6" s="9">
        <v>552000</v>
      </c>
      <c r="F6" s="9">
        <v>1457000</v>
      </c>
      <c r="G6" s="9">
        <v>180000</v>
      </c>
      <c r="H6" s="9">
        <v>842000</v>
      </c>
      <c r="I6" s="204">
        <f t="shared" ref="I6:I43" si="0">C6/B6</f>
        <v>0.78247926855198813</v>
      </c>
      <c r="J6" s="204">
        <f t="shared" ref="J6:J43" si="1">G6/B6</f>
        <v>3.8273442483521158E-2</v>
      </c>
      <c r="K6" s="204">
        <f t="shared" ref="K6:K43" si="2">H6/B6</f>
        <v>0.17903465872847119</v>
      </c>
    </row>
    <row r="7" spans="1:11" ht="24.75" customHeight="1">
      <c r="A7" s="116" t="s">
        <v>179</v>
      </c>
      <c r="B7" s="106">
        <v>547000</v>
      </c>
      <c r="C7" s="11">
        <v>417000</v>
      </c>
      <c r="D7" s="11">
        <v>157000</v>
      </c>
      <c r="E7" s="11">
        <v>104000</v>
      </c>
      <c r="F7" s="11">
        <v>157000</v>
      </c>
      <c r="G7" s="11">
        <v>16000</v>
      </c>
      <c r="H7" s="11">
        <v>114000</v>
      </c>
      <c r="I7" s="204">
        <f t="shared" si="0"/>
        <v>0.76234003656307125</v>
      </c>
      <c r="J7" s="204">
        <f t="shared" si="1"/>
        <v>2.9250457038391225E-2</v>
      </c>
      <c r="K7" s="204">
        <f t="shared" si="2"/>
        <v>0.20840950639853748</v>
      </c>
    </row>
    <row r="8" spans="1:11" ht="24.75" customHeight="1">
      <c r="A8" s="117" t="s">
        <v>180</v>
      </c>
      <c r="B8" s="106">
        <v>56000</v>
      </c>
      <c r="C8" s="11">
        <v>46000</v>
      </c>
      <c r="D8" s="11">
        <v>20000</v>
      </c>
      <c r="E8" s="11">
        <v>6000</v>
      </c>
      <c r="F8" s="11">
        <v>20000</v>
      </c>
      <c r="G8" s="16" t="s">
        <v>220</v>
      </c>
      <c r="H8" s="11">
        <v>10000</v>
      </c>
      <c r="I8" s="204">
        <f t="shared" si="0"/>
        <v>0.8214285714285714</v>
      </c>
      <c r="J8" s="204" t="e">
        <f t="shared" si="1"/>
        <v>#VALUE!</v>
      </c>
      <c r="K8" s="204">
        <f t="shared" si="2"/>
        <v>0.17857142857142858</v>
      </c>
    </row>
    <row r="9" spans="1:11" ht="12.45" customHeight="1">
      <c r="A9" s="117" t="s">
        <v>181</v>
      </c>
      <c r="B9" s="105">
        <v>380000</v>
      </c>
      <c r="C9" s="9">
        <v>286000</v>
      </c>
      <c r="D9" s="9">
        <v>107000</v>
      </c>
      <c r="E9" s="9">
        <v>85000</v>
      </c>
      <c r="F9" s="9">
        <v>93000</v>
      </c>
      <c r="G9" s="9">
        <v>12000</v>
      </c>
      <c r="H9" s="9">
        <v>82000</v>
      </c>
      <c r="I9" s="204">
        <f t="shared" si="0"/>
        <v>0.75263157894736843</v>
      </c>
      <c r="J9" s="204">
        <f t="shared" si="1"/>
        <v>3.1578947368421054E-2</v>
      </c>
      <c r="K9" s="204">
        <f t="shared" si="2"/>
        <v>0.21578947368421053</v>
      </c>
    </row>
    <row r="10" spans="1:11" ht="12.45" customHeight="1">
      <c r="A10" s="117" t="s">
        <v>182</v>
      </c>
      <c r="B10" s="105">
        <v>110000</v>
      </c>
      <c r="C10" s="9">
        <v>86000</v>
      </c>
      <c r="D10" s="9">
        <v>29000</v>
      </c>
      <c r="E10" s="9">
        <v>13000</v>
      </c>
      <c r="F10" s="9">
        <v>43000</v>
      </c>
      <c r="G10" s="9">
        <v>3000</v>
      </c>
      <c r="H10" s="9">
        <v>22000</v>
      </c>
      <c r="I10" s="204">
        <f t="shared" si="0"/>
        <v>0.78181818181818186</v>
      </c>
      <c r="J10" s="204">
        <f t="shared" si="1"/>
        <v>2.7272727272727271E-2</v>
      </c>
      <c r="K10" s="204">
        <f t="shared" si="2"/>
        <v>0.2</v>
      </c>
    </row>
    <row r="11" spans="1:11" ht="24.75" customHeight="1">
      <c r="A11" s="116" t="s">
        <v>183</v>
      </c>
      <c r="B11" s="106">
        <v>1125000</v>
      </c>
      <c r="C11" s="11">
        <v>888000</v>
      </c>
      <c r="D11" s="11">
        <v>560000</v>
      </c>
      <c r="E11" s="11">
        <v>132000</v>
      </c>
      <c r="F11" s="11">
        <v>195000</v>
      </c>
      <c r="G11" s="11">
        <v>56000</v>
      </c>
      <c r="H11" s="11">
        <v>181000</v>
      </c>
      <c r="I11" s="204">
        <f t="shared" si="0"/>
        <v>0.78933333333333333</v>
      </c>
      <c r="J11" s="204">
        <f t="shared" si="1"/>
        <v>4.9777777777777775E-2</v>
      </c>
      <c r="K11" s="204">
        <f t="shared" si="2"/>
        <v>0.16088888888888889</v>
      </c>
    </row>
    <row r="12" spans="1:11" ht="24.75" customHeight="1">
      <c r="A12" s="117" t="s">
        <v>184</v>
      </c>
      <c r="B12" s="106">
        <v>918000</v>
      </c>
      <c r="C12" s="11">
        <v>732000</v>
      </c>
      <c r="D12" s="11">
        <v>481000</v>
      </c>
      <c r="E12" s="11">
        <v>102000</v>
      </c>
      <c r="F12" s="11">
        <v>148000</v>
      </c>
      <c r="G12" s="11">
        <v>51000</v>
      </c>
      <c r="H12" s="11">
        <v>136000</v>
      </c>
      <c r="I12" s="204">
        <f t="shared" si="0"/>
        <v>0.79738562091503273</v>
      </c>
      <c r="J12" s="204">
        <f t="shared" si="1"/>
        <v>5.5555555555555552E-2</v>
      </c>
      <c r="K12" s="204">
        <f t="shared" si="2"/>
        <v>0.14814814814814814</v>
      </c>
    </row>
    <row r="13" spans="1:11" ht="12.45" customHeight="1">
      <c r="A13" s="117" t="s">
        <v>185</v>
      </c>
      <c r="B13" s="105">
        <v>207000</v>
      </c>
      <c r="C13" s="9">
        <v>156000</v>
      </c>
      <c r="D13" s="9">
        <v>79000</v>
      </c>
      <c r="E13" s="9">
        <v>30000</v>
      </c>
      <c r="F13" s="9">
        <v>47000</v>
      </c>
      <c r="G13" s="13" t="s">
        <v>191</v>
      </c>
      <c r="H13" s="9">
        <v>46000</v>
      </c>
      <c r="I13" s="204">
        <f t="shared" si="0"/>
        <v>0.75362318840579712</v>
      </c>
      <c r="J13" s="204" t="e">
        <f t="shared" si="1"/>
        <v>#VALUE!</v>
      </c>
      <c r="K13" s="204">
        <f t="shared" si="2"/>
        <v>0.22222222222222221</v>
      </c>
    </row>
    <row r="14" spans="1:11" ht="12.45" customHeight="1">
      <c r="A14" s="116" t="s">
        <v>186</v>
      </c>
      <c r="B14" s="105">
        <v>223000</v>
      </c>
      <c r="C14" s="9">
        <v>174000</v>
      </c>
      <c r="D14" s="9">
        <v>106000</v>
      </c>
      <c r="E14" s="9">
        <v>29000</v>
      </c>
      <c r="F14" s="9">
        <v>39000</v>
      </c>
      <c r="G14" s="9">
        <v>4000</v>
      </c>
      <c r="H14" s="9">
        <v>45000</v>
      </c>
      <c r="I14" s="204">
        <f t="shared" si="0"/>
        <v>0.78026905829596416</v>
      </c>
      <c r="J14" s="204">
        <f t="shared" si="1"/>
        <v>1.7937219730941704E-2</v>
      </c>
      <c r="K14" s="204">
        <f t="shared" si="2"/>
        <v>0.20179372197309417</v>
      </c>
    </row>
    <row r="15" spans="1:11" ht="24.75" customHeight="1">
      <c r="A15" s="117" t="s">
        <v>187</v>
      </c>
      <c r="B15" s="106">
        <v>73000</v>
      </c>
      <c r="C15" s="11">
        <v>57000</v>
      </c>
      <c r="D15" s="11">
        <v>28000</v>
      </c>
      <c r="E15" s="11">
        <v>11000</v>
      </c>
      <c r="F15" s="11">
        <v>19000</v>
      </c>
      <c r="G15" s="11">
        <v>1000</v>
      </c>
      <c r="H15" s="11">
        <v>14000</v>
      </c>
      <c r="I15" s="204">
        <f t="shared" si="0"/>
        <v>0.78082191780821919</v>
      </c>
      <c r="J15" s="204">
        <f t="shared" si="1"/>
        <v>1.3698630136986301E-2</v>
      </c>
      <c r="K15" s="204">
        <f t="shared" si="2"/>
        <v>0.19178082191780821</v>
      </c>
    </row>
    <row r="16" spans="1:11" ht="24.75" customHeight="1">
      <c r="A16" s="117" t="s">
        <v>188</v>
      </c>
      <c r="B16" s="106">
        <v>73000</v>
      </c>
      <c r="C16" s="11">
        <v>59000</v>
      </c>
      <c r="D16" s="11">
        <v>39000</v>
      </c>
      <c r="E16" s="11">
        <v>6000</v>
      </c>
      <c r="F16" s="11">
        <v>14000</v>
      </c>
      <c r="G16" s="11">
        <v>1000</v>
      </c>
      <c r="H16" s="11">
        <v>13000</v>
      </c>
      <c r="I16" s="204">
        <f t="shared" si="0"/>
        <v>0.80821917808219179</v>
      </c>
      <c r="J16" s="204">
        <f t="shared" si="1"/>
        <v>1.3698630136986301E-2</v>
      </c>
      <c r="K16" s="204">
        <f t="shared" si="2"/>
        <v>0.17808219178082191</v>
      </c>
    </row>
    <row r="17" spans="1:11" ht="12.45" customHeight="1">
      <c r="A17" s="117" t="s">
        <v>189</v>
      </c>
      <c r="B17" s="105">
        <v>69000</v>
      </c>
      <c r="C17" s="9">
        <v>52000</v>
      </c>
      <c r="D17" s="9">
        <v>37000</v>
      </c>
      <c r="E17" s="9">
        <v>9000</v>
      </c>
      <c r="F17" s="9">
        <v>6000</v>
      </c>
      <c r="G17" s="9">
        <v>2000</v>
      </c>
      <c r="H17" s="9">
        <v>16000</v>
      </c>
      <c r="I17" s="204">
        <f t="shared" si="0"/>
        <v>0.75362318840579712</v>
      </c>
      <c r="J17" s="204">
        <f t="shared" si="1"/>
        <v>2.8985507246376812E-2</v>
      </c>
      <c r="K17" s="204">
        <f t="shared" si="2"/>
        <v>0.2318840579710145</v>
      </c>
    </row>
    <row r="18" spans="1:11" ht="12.45" customHeight="1">
      <c r="A18" s="117" t="s">
        <v>190</v>
      </c>
      <c r="B18" s="105">
        <v>8000</v>
      </c>
      <c r="C18" s="9">
        <v>6000</v>
      </c>
      <c r="D18" s="13" t="s">
        <v>191</v>
      </c>
      <c r="E18" s="13" t="s">
        <v>191</v>
      </c>
      <c r="F18" s="9">
        <v>1000</v>
      </c>
      <c r="G18" s="13" t="s">
        <v>220</v>
      </c>
      <c r="H18" s="13" t="s">
        <v>191</v>
      </c>
      <c r="I18" s="204">
        <f t="shared" si="0"/>
        <v>0.75</v>
      </c>
      <c r="J18" s="204" t="e">
        <f t="shared" si="1"/>
        <v>#VALUE!</v>
      </c>
      <c r="K18" s="204" t="e">
        <f t="shared" si="2"/>
        <v>#VALUE!</v>
      </c>
    </row>
    <row r="19" spans="1:11" ht="12.45" customHeight="1">
      <c r="A19" s="116" t="s">
        <v>192</v>
      </c>
      <c r="B19" s="105">
        <v>1569000</v>
      </c>
      <c r="C19" s="9">
        <v>1171000</v>
      </c>
      <c r="D19" s="9">
        <v>212000</v>
      </c>
      <c r="E19" s="9">
        <v>109000</v>
      </c>
      <c r="F19" s="9">
        <v>850000</v>
      </c>
      <c r="G19" s="9">
        <v>70000</v>
      </c>
      <c r="H19" s="9">
        <v>327000</v>
      </c>
      <c r="I19" s="204">
        <f t="shared" si="0"/>
        <v>0.74633524537922247</v>
      </c>
      <c r="J19" s="204">
        <f t="shared" si="1"/>
        <v>4.4614404079031229E-2</v>
      </c>
      <c r="K19" s="204">
        <f t="shared" si="2"/>
        <v>0.2084130019120459</v>
      </c>
    </row>
    <row r="20" spans="1:11" ht="12.45" customHeight="1">
      <c r="A20" s="117" t="s">
        <v>193</v>
      </c>
      <c r="B20" s="105">
        <v>151000</v>
      </c>
      <c r="C20" s="9">
        <v>114000</v>
      </c>
      <c r="D20" s="9">
        <v>30000</v>
      </c>
      <c r="E20" s="9">
        <v>2000</v>
      </c>
      <c r="F20" s="9">
        <v>81000</v>
      </c>
      <c r="G20" s="9">
        <v>3000</v>
      </c>
      <c r="H20" s="9">
        <v>35000</v>
      </c>
      <c r="I20" s="204">
        <f t="shared" si="0"/>
        <v>0.75496688741721851</v>
      </c>
      <c r="J20" s="204">
        <f t="shared" si="1"/>
        <v>1.9867549668874173E-2</v>
      </c>
      <c r="K20" s="204">
        <f t="shared" si="2"/>
        <v>0.23178807947019867</v>
      </c>
    </row>
    <row r="21" spans="1:11" ht="12.45" customHeight="1">
      <c r="A21" s="118" t="s">
        <v>194</v>
      </c>
      <c r="B21" s="105">
        <v>277000</v>
      </c>
      <c r="C21" s="9">
        <v>231000</v>
      </c>
      <c r="D21" s="9">
        <v>46000</v>
      </c>
      <c r="E21" s="9">
        <v>12000</v>
      </c>
      <c r="F21" s="9">
        <v>173000</v>
      </c>
      <c r="G21" s="9">
        <v>6000</v>
      </c>
      <c r="H21" s="9">
        <v>41000</v>
      </c>
      <c r="I21" s="204">
        <f t="shared" si="0"/>
        <v>0.83393501805054149</v>
      </c>
      <c r="J21" s="204">
        <f t="shared" si="1"/>
        <v>2.1660649819494584E-2</v>
      </c>
      <c r="K21" s="204">
        <f t="shared" si="2"/>
        <v>0.14801444043321299</v>
      </c>
    </row>
    <row r="22" spans="1:11" ht="12.45" customHeight="1">
      <c r="A22" s="117" t="s">
        <v>195</v>
      </c>
      <c r="B22" s="105">
        <v>848000</v>
      </c>
      <c r="C22" s="9">
        <v>602000</v>
      </c>
      <c r="D22" s="9">
        <v>96000</v>
      </c>
      <c r="E22" s="9">
        <v>73000</v>
      </c>
      <c r="F22" s="9">
        <v>433000</v>
      </c>
      <c r="G22" s="9">
        <v>49000</v>
      </c>
      <c r="H22" s="9">
        <v>198000</v>
      </c>
      <c r="I22" s="204">
        <f t="shared" si="0"/>
        <v>0.70990566037735847</v>
      </c>
      <c r="J22" s="204">
        <f t="shared" si="1"/>
        <v>5.7783018867924529E-2</v>
      </c>
      <c r="K22" s="204">
        <f t="shared" si="2"/>
        <v>0.23349056603773585</v>
      </c>
    </row>
    <row r="23" spans="1:11" ht="12.45" customHeight="1">
      <c r="A23" s="117" t="s">
        <v>196</v>
      </c>
      <c r="B23" s="105">
        <v>122000</v>
      </c>
      <c r="C23" s="9">
        <v>82000</v>
      </c>
      <c r="D23" s="9">
        <v>22000</v>
      </c>
      <c r="E23" s="9">
        <v>7000</v>
      </c>
      <c r="F23" s="9">
        <v>53000</v>
      </c>
      <c r="G23" s="9">
        <v>8000</v>
      </c>
      <c r="H23" s="9">
        <v>32000</v>
      </c>
      <c r="I23" s="204">
        <f t="shared" si="0"/>
        <v>0.67213114754098358</v>
      </c>
      <c r="J23" s="204">
        <f t="shared" si="1"/>
        <v>6.5573770491803282E-2</v>
      </c>
      <c r="K23" s="204">
        <f t="shared" si="2"/>
        <v>0.26229508196721313</v>
      </c>
    </row>
    <row r="24" spans="1:11" ht="12.45" customHeight="1">
      <c r="A24" s="117" t="s">
        <v>197</v>
      </c>
      <c r="B24" s="105">
        <v>171000</v>
      </c>
      <c r="C24" s="9">
        <v>142000</v>
      </c>
      <c r="D24" s="9">
        <v>18000</v>
      </c>
      <c r="E24" s="9">
        <v>15000</v>
      </c>
      <c r="F24" s="9">
        <v>110000</v>
      </c>
      <c r="G24" s="9">
        <v>6000</v>
      </c>
      <c r="H24" s="9">
        <v>23000</v>
      </c>
      <c r="I24" s="204">
        <f t="shared" si="0"/>
        <v>0.83040935672514615</v>
      </c>
      <c r="J24" s="204">
        <f t="shared" si="1"/>
        <v>3.5087719298245612E-2</v>
      </c>
      <c r="K24" s="204">
        <f t="shared" si="2"/>
        <v>0.13450292397660818</v>
      </c>
    </row>
    <row r="25" spans="1:11" ht="12.45" customHeight="1">
      <c r="A25" s="116" t="s">
        <v>198</v>
      </c>
      <c r="B25" s="105">
        <v>1239000</v>
      </c>
      <c r="C25" s="9">
        <v>1030000</v>
      </c>
      <c r="D25" s="9">
        <v>635000</v>
      </c>
      <c r="E25" s="9">
        <v>178000</v>
      </c>
      <c r="F25" s="9">
        <v>216000</v>
      </c>
      <c r="G25" s="9">
        <v>34000</v>
      </c>
      <c r="H25" s="9">
        <v>175000</v>
      </c>
      <c r="I25" s="204">
        <f t="shared" si="0"/>
        <v>0.83131557707828896</v>
      </c>
      <c r="J25" s="204">
        <f t="shared" si="1"/>
        <v>2.7441485068603711E-2</v>
      </c>
      <c r="K25" s="204">
        <f t="shared" si="2"/>
        <v>0.14124293785310735</v>
      </c>
    </row>
    <row r="26" spans="1:11" ht="24.75" customHeight="1">
      <c r="A26" s="117" t="s">
        <v>199</v>
      </c>
      <c r="B26" s="106">
        <v>63000</v>
      </c>
      <c r="C26" s="11">
        <v>48000</v>
      </c>
      <c r="D26" s="11">
        <v>29000</v>
      </c>
      <c r="E26" s="11">
        <v>7000</v>
      </c>
      <c r="F26" s="11">
        <v>12000</v>
      </c>
      <c r="G26" s="16" t="s">
        <v>220</v>
      </c>
      <c r="H26" s="11">
        <v>14000</v>
      </c>
      <c r="I26" s="204">
        <f t="shared" si="0"/>
        <v>0.76190476190476186</v>
      </c>
      <c r="J26" s="204" t="e">
        <f t="shared" si="1"/>
        <v>#VALUE!</v>
      </c>
      <c r="K26" s="204">
        <f t="shared" si="2"/>
        <v>0.22222222222222221</v>
      </c>
    </row>
    <row r="27" spans="1:11" ht="12.45" customHeight="1">
      <c r="A27" s="117" t="s">
        <v>200</v>
      </c>
      <c r="B27" s="105">
        <v>46000</v>
      </c>
      <c r="C27" s="9">
        <v>38000</v>
      </c>
      <c r="D27" s="9">
        <v>19000</v>
      </c>
      <c r="E27" s="9">
        <v>7000</v>
      </c>
      <c r="F27" s="9">
        <v>11000</v>
      </c>
      <c r="G27" s="13" t="s">
        <v>191</v>
      </c>
      <c r="H27" s="9">
        <v>6000</v>
      </c>
      <c r="I27" s="204">
        <f t="shared" si="0"/>
        <v>0.82608695652173914</v>
      </c>
      <c r="J27" s="204" t="e">
        <f t="shared" si="1"/>
        <v>#VALUE!</v>
      </c>
      <c r="K27" s="204">
        <f t="shared" si="2"/>
        <v>0.13043478260869565</v>
      </c>
    </row>
    <row r="28" spans="1:11" ht="24.75" customHeight="1">
      <c r="A28" s="117" t="s">
        <v>201</v>
      </c>
      <c r="B28" s="106">
        <v>144000</v>
      </c>
      <c r="C28" s="11">
        <v>126000</v>
      </c>
      <c r="D28" s="11">
        <v>85000</v>
      </c>
      <c r="E28" s="11">
        <v>21000</v>
      </c>
      <c r="F28" s="11">
        <v>20000</v>
      </c>
      <c r="G28" s="11">
        <v>2000</v>
      </c>
      <c r="H28" s="11">
        <v>16000</v>
      </c>
      <c r="I28" s="204">
        <f t="shared" si="0"/>
        <v>0.875</v>
      </c>
      <c r="J28" s="204">
        <f t="shared" si="1"/>
        <v>1.3888888888888888E-2</v>
      </c>
      <c r="K28" s="204">
        <f t="shared" si="2"/>
        <v>0.1111111111111111</v>
      </c>
    </row>
    <row r="29" spans="1:11" ht="24.75" customHeight="1">
      <c r="A29" s="117" t="s">
        <v>202</v>
      </c>
      <c r="B29" s="106">
        <v>483000</v>
      </c>
      <c r="C29" s="11">
        <v>406000</v>
      </c>
      <c r="D29" s="11">
        <v>262000</v>
      </c>
      <c r="E29" s="11">
        <v>76000</v>
      </c>
      <c r="F29" s="11">
        <v>68000</v>
      </c>
      <c r="G29" s="11">
        <v>11000</v>
      </c>
      <c r="H29" s="11">
        <v>67000</v>
      </c>
      <c r="I29" s="204">
        <f t="shared" si="0"/>
        <v>0.84057971014492749</v>
      </c>
      <c r="J29" s="204">
        <f t="shared" si="1"/>
        <v>2.2774327122153208E-2</v>
      </c>
      <c r="K29" s="204">
        <f t="shared" si="2"/>
        <v>0.13871635610766045</v>
      </c>
    </row>
    <row r="30" spans="1:11" ht="12.45" customHeight="1">
      <c r="A30" s="117" t="s">
        <v>203</v>
      </c>
      <c r="B30" s="105">
        <v>83000</v>
      </c>
      <c r="C30" s="9">
        <v>66000</v>
      </c>
      <c r="D30" s="9">
        <v>31000</v>
      </c>
      <c r="E30" s="9">
        <v>12000</v>
      </c>
      <c r="F30" s="9">
        <v>22000</v>
      </c>
      <c r="G30" s="9">
        <v>2000</v>
      </c>
      <c r="H30" s="9">
        <v>15000</v>
      </c>
      <c r="I30" s="204">
        <f t="shared" si="0"/>
        <v>0.79518072289156627</v>
      </c>
      <c r="J30" s="204">
        <f t="shared" si="1"/>
        <v>2.4096385542168676E-2</v>
      </c>
      <c r="K30" s="204">
        <f t="shared" si="2"/>
        <v>0.18072289156626506</v>
      </c>
    </row>
    <row r="31" spans="1:11" ht="12.45" customHeight="1">
      <c r="A31" s="117" t="s">
        <v>204</v>
      </c>
      <c r="B31" s="105">
        <v>183000</v>
      </c>
      <c r="C31" s="9">
        <v>159000</v>
      </c>
      <c r="D31" s="9">
        <v>107000</v>
      </c>
      <c r="E31" s="9">
        <v>23000</v>
      </c>
      <c r="F31" s="9">
        <v>30000</v>
      </c>
      <c r="G31" s="9">
        <v>7000</v>
      </c>
      <c r="H31" s="9">
        <v>16000</v>
      </c>
      <c r="I31" s="204">
        <f t="shared" si="0"/>
        <v>0.86885245901639341</v>
      </c>
      <c r="J31" s="204">
        <f t="shared" si="1"/>
        <v>3.825136612021858E-2</v>
      </c>
      <c r="K31" s="204">
        <f t="shared" si="2"/>
        <v>8.7431693989071038E-2</v>
      </c>
    </row>
    <row r="32" spans="1:11" ht="12.45" customHeight="1">
      <c r="A32" s="117" t="s">
        <v>205</v>
      </c>
      <c r="B32" s="105">
        <v>238000</v>
      </c>
      <c r="C32" s="9">
        <v>188000</v>
      </c>
      <c r="D32" s="9">
        <v>102000</v>
      </c>
      <c r="E32" s="9">
        <v>32000</v>
      </c>
      <c r="F32" s="9">
        <v>54000</v>
      </c>
      <c r="G32" s="9">
        <v>9000</v>
      </c>
      <c r="H32" s="9">
        <v>41000</v>
      </c>
      <c r="I32" s="204">
        <f t="shared" si="0"/>
        <v>0.78991596638655459</v>
      </c>
      <c r="J32" s="204">
        <f t="shared" si="1"/>
        <v>3.7815126050420166E-2</v>
      </c>
      <c r="K32" s="204">
        <f t="shared" si="2"/>
        <v>0.17226890756302521</v>
      </c>
    </row>
    <row r="33" spans="1:11" ht="12.45" customHeight="1">
      <c r="A33" s="115" t="s">
        <v>206</v>
      </c>
      <c r="B33" s="105">
        <v>2644000</v>
      </c>
      <c r="C33" s="9">
        <v>2080000</v>
      </c>
      <c r="D33" s="9">
        <v>156000</v>
      </c>
      <c r="E33" s="9">
        <v>1327000</v>
      </c>
      <c r="F33" s="9">
        <v>598000</v>
      </c>
      <c r="G33" s="9">
        <v>79000</v>
      </c>
      <c r="H33" s="9">
        <v>484000</v>
      </c>
      <c r="I33" s="204">
        <f t="shared" si="0"/>
        <v>0.78668683812405449</v>
      </c>
      <c r="J33" s="204">
        <f t="shared" si="1"/>
        <v>2.9878971255673223E-2</v>
      </c>
      <c r="K33" s="204">
        <f t="shared" si="2"/>
        <v>0.18305597579425115</v>
      </c>
    </row>
    <row r="34" spans="1:11" ht="12.45" customHeight="1">
      <c r="A34" s="116" t="s">
        <v>207</v>
      </c>
      <c r="B34" s="105">
        <v>1960000</v>
      </c>
      <c r="C34" s="9">
        <v>1561000</v>
      </c>
      <c r="D34" s="9">
        <v>65000</v>
      </c>
      <c r="E34" s="9">
        <v>1102000</v>
      </c>
      <c r="F34" s="9">
        <v>394000</v>
      </c>
      <c r="G34" s="9">
        <v>63000</v>
      </c>
      <c r="H34" s="9">
        <v>335000</v>
      </c>
      <c r="I34" s="204">
        <f t="shared" si="0"/>
        <v>0.79642857142857137</v>
      </c>
      <c r="J34" s="204">
        <f t="shared" si="1"/>
        <v>3.214285714285714E-2</v>
      </c>
      <c r="K34" s="204">
        <f t="shared" si="2"/>
        <v>0.17091836734693877</v>
      </c>
    </row>
    <row r="35" spans="1:11" ht="24.75" customHeight="1">
      <c r="A35" s="116" t="s">
        <v>208</v>
      </c>
      <c r="B35" s="106">
        <v>344000</v>
      </c>
      <c r="C35" s="11">
        <v>244000</v>
      </c>
      <c r="D35" s="11">
        <v>14000</v>
      </c>
      <c r="E35" s="11">
        <v>133000</v>
      </c>
      <c r="F35" s="11">
        <v>97000</v>
      </c>
      <c r="G35" s="16" t="s">
        <v>191</v>
      </c>
      <c r="H35" s="11">
        <v>95000</v>
      </c>
      <c r="I35" s="204">
        <f t="shared" si="0"/>
        <v>0.70930232558139539</v>
      </c>
      <c r="J35" s="204" t="e">
        <f t="shared" si="1"/>
        <v>#VALUE!</v>
      </c>
      <c r="K35" s="204">
        <f t="shared" si="2"/>
        <v>0.27616279069767441</v>
      </c>
    </row>
    <row r="36" spans="1:11" ht="12.45" customHeight="1">
      <c r="A36" s="118" t="s">
        <v>209</v>
      </c>
      <c r="B36" s="105">
        <v>114000</v>
      </c>
      <c r="C36" s="9">
        <v>86000</v>
      </c>
      <c r="D36" s="9">
        <v>48000</v>
      </c>
      <c r="E36" s="9">
        <v>13000</v>
      </c>
      <c r="F36" s="9">
        <v>25000</v>
      </c>
      <c r="G36" s="13" t="s">
        <v>191</v>
      </c>
      <c r="H36" s="9">
        <v>24000</v>
      </c>
      <c r="I36" s="204">
        <f t="shared" si="0"/>
        <v>0.75438596491228072</v>
      </c>
      <c r="J36" s="204" t="e">
        <f t="shared" si="1"/>
        <v>#VALUE!</v>
      </c>
      <c r="K36" s="204">
        <f t="shared" si="2"/>
        <v>0.21052631578947367</v>
      </c>
    </row>
    <row r="37" spans="1:11" ht="12.45" customHeight="1">
      <c r="A37" s="116" t="s">
        <v>210</v>
      </c>
      <c r="B37" s="105">
        <v>226000</v>
      </c>
      <c r="C37" s="9">
        <v>189000</v>
      </c>
      <c r="D37" s="9">
        <v>28000</v>
      </c>
      <c r="E37" s="9">
        <v>80000</v>
      </c>
      <c r="F37" s="9">
        <v>81000</v>
      </c>
      <c r="G37" s="9">
        <v>6000</v>
      </c>
      <c r="H37" s="9">
        <v>31000</v>
      </c>
      <c r="I37" s="204">
        <f t="shared" si="0"/>
        <v>0.83628318584070793</v>
      </c>
      <c r="J37" s="204">
        <f t="shared" si="1"/>
        <v>2.6548672566371681E-2</v>
      </c>
      <c r="K37" s="204">
        <f t="shared" si="2"/>
        <v>0.13716814159292035</v>
      </c>
    </row>
    <row r="38" spans="1:11" ht="12.45" customHeight="1">
      <c r="A38" s="115" t="s">
        <v>211</v>
      </c>
      <c r="B38" s="105">
        <v>11950000</v>
      </c>
      <c r="C38" s="9">
        <v>8928000</v>
      </c>
      <c r="D38" s="9">
        <v>584000</v>
      </c>
      <c r="E38" s="9">
        <v>699000</v>
      </c>
      <c r="F38" s="9">
        <v>7644000</v>
      </c>
      <c r="G38" s="9">
        <v>414000</v>
      </c>
      <c r="H38" s="9">
        <v>2608000</v>
      </c>
      <c r="I38" s="204">
        <f t="shared" si="0"/>
        <v>0.74711297071129712</v>
      </c>
      <c r="J38" s="204">
        <f t="shared" si="1"/>
        <v>3.4644351464435147E-2</v>
      </c>
      <c r="K38" s="204">
        <f t="shared" si="2"/>
        <v>0.21824267782426779</v>
      </c>
    </row>
    <row r="39" spans="1:11" ht="24.75" customHeight="1">
      <c r="A39" s="116" t="s">
        <v>212</v>
      </c>
      <c r="B39" s="106">
        <v>4118000</v>
      </c>
      <c r="C39" s="11">
        <v>3311000</v>
      </c>
      <c r="D39" s="11">
        <v>349000</v>
      </c>
      <c r="E39" s="11">
        <v>262000</v>
      </c>
      <c r="F39" s="11">
        <v>2700000</v>
      </c>
      <c r="G39" s="11">
        <v>169000</v>
      </c>
      <c r="H39" s="11">
        <v>638000</v>
      </c>
      <c r="I39" s="204">
        <f t="shared" si="0"/>
        <v>0.80403108305002424</v>
      </c>
      <c r="J39" s="204">
        <f t="shared" si="1"/>
        <v>4.1039339485186982E-2</v>
      </c>
      <c r="K39" s="204">
        <f t="shared" si="2"/>
        <v>0.15492957746478872</v>
      </c>
    </row>
    <row r="40" spans="1:11" ht="24.75" customHeight="1">
      <c r="A40" s="116" t="s">
        <v>213</v>
      </c>
      <c r="B40" s="106">
        <v>4167000</v>
      </c>
      <c r="C40" s="11">
        <v>2888000</v>
      </c>
      <c r="D40" s="11">
        <v>53000</v>
      </c>
      <c r="E40" s="11">
        <v>285000</v>
      </c>
      <c r="F40" s="11">
        <v>2550000</v>
      </c>
      <c r="G40" s="11">
        <v>88000</v>
      </c>
      <c r="H40" s="11">
        <v>1191000</v>
      </c>
      <c r="I40" s="204">
        <f t="shared" si="0"/>
        <v>0.69306455483561313</v>
      </c>
      <c r="J40" s="204">
        <f t="shared" si="1"/>
        <v>2.1118310535157187E-2</v>
      </c>
      <c r="K40" s="204">
        <f t="shared" si="2"/>
        <v>0.28581713462922964</v>
      </c>
    </row>
    <row r="41" spans="1:11" ht="12.45" customHeight="1">
      <c r="A41" s="118" t="s">
        <v>214</v>
      </c>
      <c r="B41" s="105">
        <v>1084000</v>
      </c>
      <c r="C41" s="9">
        <v>841000</v>
      </c>
      <c r="D41" s="9">
        <v>39000</v>
      </c>
      <c r="E41" s="9">
        <v>45000</v>
      </c>
      <c r="F41" s="9">
        <v>757000</v>
      </c>
      <c r="G41" s="9">
        <v>43000</v>
      </c>
      <c r="H41" s="9">
        <v>200000</v>
      </c>
      <c r="I41" s="204">
        <f t="shared" si="0"/>
        <v>0.77583025830258301</v>
      </c>
      <c r="J41" s="204">
        <f t="shared" si="1"/>
        <v>3.9667896678966787E-2</v>
      </c>
      <c r="K41" s="204">
        <f t="shared" si="2"/>
        <v>0.18450184501845018</v>
      </c>
    </row>
    <row r="42" spans="1:11" ht="12.45" customHeight="1">
      <c r="A42" s="116" t="s">
        <v>215</v>
      </c>
      <c r="B42" s="105">
        <v>307000</v>
      </c>
      <c r="C42" s="9">
        <v>210000</v>
      </c>
      <c r="D42" s="9">
        <v>17000</v>
      </c>
      <c r="E42" s="9">
        <v>11000</v>
      </c>
      <c r="F42" s="9">
        <v>183000</v>
      </c>
      <c r="G42" s="9">
        <v>19000</v>
      </c>
      <c r="H42" s="9">
        <v>78000</v>
      </c>
      <c r="I42" s="204">
        <f t="shared" si="0"/>
        <v>0.68403908794788271</v>
      </c>
      <c r="J42" s="204">
        <f t="shared" si="1"/>
        <v>6.1889250814332247E-2</v>
      </c>
      <c r="K42" s="204">
        <f t="shared" si="2"/>
        <v>0.25407166123778502</v>
      </c>
    </row>
    <row r="43" spans="1:11" ht="12.45" customHeight="1">
      <c r="A43" s="116" t="s">
        <v>216</v>
      </c>
      <c r="B43" s="105">
        <v>1036000</v>
      </c>
      <c r="C43" s="9">
        <v>740000</v>
      </c>
      <c r="D43" s="9">
        <v>38000</v>
      </c>
      <c r="E43" s="9">
        <v>48000</v>
      </c>
      <c r="F43" s="9">
        <v>654000</v>
      </c>
      <c r="G43" s="9">
        <v>43000</v>
      </c>
      <c r="H43" s="9">
        <v>253000</v>
      </c>
      <c r="I43" s="204">
        <f t="shared" si="0"/>
        <v>0.7142857142857143</v>
      </c>
      <c r="J43" s="204">
        <f t="shared" si="1"/>
        <v>4.1505791505791506E-2</v>
      </c>
      <c r="K43" s="204">
        <f t="shared" si="2"/>
        <v>0.24420849420849422</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22" workbookViewId="0">
      <selection activeCell="A5" sqref="A5:K43"/>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39" customHeight="1">
      <c r="A1" s="314" t="s">
        <v>165</v>
      </c>
      <c r="B1" s="314"/>
      <c r="C1" s="314"/>
      <c r="D1" s="314"/>
      <c r="E1" s="314"/>
      <c r="F1" s="314"/>
      <c r="G1" s="314"/>
      <c r="H1" s="314"/>
      <c r="I1" s="314"/>
    </row>
    <row r="2" spans="1:11" ht="1.95" customHeight="1"/>
    <row r="3" spans="1:11" ht="13.95" customHeight="1">
      <c r="A3" s="326" t="s">
        <v>166</v>
      </c>
      <c r="B3" s="328" t="s">
        <v>167</v>
      </c>
      <c r="C3" s="330" t="s">
        <v>168</v>
      </c>
      <c r="D3" s="331"/>
      <c r="E3" s="331"/>
      <c r="F3" s="332"/>
      <c r="G3" s="333" t="s">
        <v>169</v>
      </c>
      <c r="H3" s="335" t="s">
        <v>170</v>
      </c>
      <c r="I3" s="337" t="s">
        <v>171</v>
      </c>
      <c r="J3" s="319" t="s">
        <v>172</v>
      </c>
      <c r="K3" s="319" t="s">
        <v>173</v>
      </c>
    </row>
    <row r="4" spans="1:11" ht="25.5" customHeight="1">
      <c r="A4" s="327"/>
      <c r="B4" s="329"/>
      <c r="C4" s="3" t="s">
        <v>167</v>
      </c>
      <c r="D4" s="4" t="s">
        <v>174</v>
      </c>
      <c r="E4" s="5" t="s">
        <v>175</v>
      </c>
      <c r="F4" s="5" t="s">
        <v>176</v>
      </c>
      <c r="G4" s="334"/>
      <c r="H4" s="336"/>
      <c r="I4" s="337"/>
      <c r="J4" s="320"/>
      <c r="K4" s="320"/>
    </row>
    <row r="5" spans="1:11" ht="12.45" customHeight="1">
      <c r="A5" s="116" t="s">
        <v>217</v>
      </c>
      <c r="B5" s="107">
        <v>1239000</v>
      </c>
      <c r="C5" s="7">
        <v>938000</v>
      </c>
      <c r="D5" s="7">
        <v>89000</v>
      </c>
      <c r="E5" s="7">
        <v>49000</v>
      </c>
      <c r="F5" s="7">
        <v>800000</v>
      </c>
      <c r="G5" s="7">
        <v>53000</v>
      </c>
      <c r="H5" s="7">
        <v>248000</v>
      </c>
      <c r="I5" s="204">
        <f>C5/B5</f>
        <v>0.75706214689265539</v>
      </c>
      <c r="J5" s="204">
        <f>G5/B5</f>
        <v>4.2776432606941084E-2</v>
      </c>
      <c r="K5" s="204">
        <f>H5/B5</f>
        <v>0.20016142050040356</v>
      </c>
    </row>
    <row r="6" spans="1:11" ht="12.45" customHeight="1">
      <c r="A6" s="135" t="s">
        <v>221</v>
      </c>
      <c r="B6" s="136">
        <v>2643000</v>
      </c>
      <c r="C6" s="137">
        <v>2141000</v>
      </c>
      <c r="D6" s="137">
        <v>962000</v>
      </c>
      <c r="E6" s="137">
        <v>374000</v>
      </c>
      <c r="F6" s="137">
        <v>805000</v>
      </c>
      <c r="G6" s="137">
        <v>74000</v>
      </c>
      <c r="H6" s="137">
        <v>429000</v>
      </c>
      <c r="I6" s="204">
        <f t="shared" ref="I6:I43" si="0">C6/B6</f>
        <v>0.81006432084752178</v>
      </c>
      <c r="J6" s="204">
        <f t="shared" ref="J6:J43" si="1">G6/B6</f>
        <v>2.7998486568293606E-2</v>
      </c>
      <c r="K6" s="204">
        <f t="shared" ref="K6:K43" si="2">H6/B6</f>
        <v>0.1623155505107832</v>
      </c>
    </row>
    <row r="7" spans="1:11" ht="12.45" customHeight="1">
      <c r="A7" s="138" t="s">
        <v>178</v>
      </c>
      <c r="B7" s="105">
        <v>1582000</v>
      </c>
      <c r="C7" s="9">
        <v>1302000</v>
      </c>
      <c r="D7" s="9">
        <v>861000</v>
      </c>
      <c r="E7" s="9">
        <v>157000</v>
      </c>
      <c r="F7" s="9">
        <v>285000</v>
      </c>
      <c r="G7" s="9">
        <v>38000</v>
      </c>
      <c r="H7" s="9">
        <v>241000</v>
      </c>
      <c r="I7" s="204">
        <f t="shared" si="0"/>
        <v>0.82300884955752207</v>
      </c>
      <c r="J7" s="204">
        <f t="shared" si="1"/>
        <v>2.402022756005057E-2</v>
      </c>
      <c r="K7" s="204">
        <f t="shared" si="2"/>
        <v>0.15233881163084703</v>
      </c>
    </row>
    <row r="8" spans="1:11" ht="24.75" customHeight="1">
      <c r="A8" s="139" t="s">
        <v>179</v>
      </c>
      <c r="B8" s="106">
        <v>447000</v>
      </c>
      <c r="C8" s="11">
        <v>380000</v>
      </c>
      <c r="D8" s="11">
        <v>240000</v>
      </c>
      <c r="E8" s="11">
        <v>74000</v>
      </c>
      <c r="F8" s="11">
        <v>66000</v>
      </c>
      <c r="G8" s="11">
        <v>9000</v>
      </c>
      <c r="H8" s="11">
        <v>58000</v>
      </c>
      <c r="I8" s="204">
        <f t="shared" si="0"/>
        <v>0.85011185682326618</v>
      </c>
      <c r="J8" s="204">
        <f t="shared" si="1"/>
        <v>2.0134228187919462E-2</v>
      </c>
      <c r="K8" s="204">
        <f t="shared" si="2"/>
        <v>0.12975391498881431</v>
      </c>
    </row>
    <row r="9" spans="1:11" ht="24.75" customHeight="1">
      <c r="A9" s="140" t="s">
        <v>180</v>
      </c>
      <c r="B9" s="106">
        <v>30000</v>
      </c>
      <c r="C9" s="11">
        <v>23000</v>
      </c>
      <c r="D9" s="11">
        <v>14000</v>
      </c>
      <c r="E9" s="11">
        <v>1000</v>
      </c>
      <c r="F9" s="11">
        <v>8000</v>
      </c>
      <c r="G9" s="16" t="s">
        <v>191</v>
      </c>
      <c r="H9" s="11">
        <v>6000</v>
      </c>
      <c r="I9" s="204">
        <f t="shared" si="0"/>
        <v>0.76666666666666672</v>
      </c>
      <c r="J9" s="204" t="e">
        <f t="shared" si="1"/>
        <v>#VALUE!</v>
      </c>
      <c r="K9" s="204">
        <f t="shared" si="2"/>
        <v>0.2</v>
      </c>
    </row>
    <row r="10" spans="1:11" ht="12.45" customHeight="1">
      <c r="A10" s="140" t="s">
        <v>181</v>
      </c>
      <c r="B10" s="105">
        <v>408000</v>
      </c>
      <c r="C10" s="9">
        <v>350000</v>
      </c>
      <c r="D10" s="9">
        <v>221000</v>
      </c>
      <c r="E10" s="9">
        <v>72000</v>
      </c>
      <c r="F10" s="9">
        <v>56000</v>
      </c>
      <c r="G10" s="9">
        <v>7000</v>
      </c>
      <c r="H10" s="9">
        <v>51000</v>
      </c>
      <c r="I10" s="204">
        <f t="shared" si="0"/>
        <v>0.85784313725490191</v>
      </c>
      <c r="J10" s="204">
        <f t="shared" si="1"/>
        <v>1.7156862745098041E-2</v>
      </c>
      <c r="K10" s="204">
        <f t="shared" si="2"/>
        <v>0.125</v>
      </c>
    </row>
    <row r="11" spans="1:11" ht="12.45" customHeight="1">
      <c r="A11" s="140" t="s">
        <v>182</v>
      </c>
      <c r="B11" s="105">
        <v>9000</v>
      </c>
      <c r="C11" s="9">
        <v>7000</v>
      </c>
      <c r="D11" s="9">
        <v>5000</v>
      </c>
      <c r="E11" s="13" t="s">
        <v>222</v>
      </c>
      <c r="F11" s="13" t="s">
        <v>191</v>
      </c>
      <c r="G11" s="13" t="s">
        <v>220</v>
      </c>
      <c r="H11" s="13" t="s">
        <v>220</v>
      </c>
      <c r="I11" s="204">
        <f t="shared" si="0"/>
        <v>0.77777777777777779</v>
      </c>
      <c r="J11" s="204" t="e">
        <f t="shared" si="1"/>
        <v>#VALUE!</v>
      </c>
      <c r="K11" s="204" t="e">
        <f t="shared" si="2"/>
        <v>#VALUE!</v>
      </c>
    </row>
    <row r="12" spans="1:11" ht="24.75" customHeight="1">
      <c r="A12" s="139" t="s">
        <v>183</v>
      </c>
      <c r="B12" s="106">
        <v>149000</v>
      </c>
      <c r="C12" s="11">
        <v>127000</v>
      </c>
      <c r="D12" s="11">
        <v>98000</v>
      </c>
      <c r="E12" s="11">
        <v>10000</v>
      </c>
      <c r="F12" s="11">
        <v>19000</v>
      </c>
      <c r="G12" s="11">
        <v>4000</v>
      </c>
      <c r="H12" s="11">
        <v>19000</v>
      </c>
      <c r="I12" s="204">
        <f t="shared" si="0"/>
        <v>0.8523489932885906</v>
      </c>
      <c r="J12" s="204">
        <f t="shared" si="1"/>
        <v>2.6845637583892617E-2</v>
      </c>
      <c r="K12" s="204">
        <f t="shared" si="2"/>
        <v>0.12751677852348994</v>
      </c>
    </row>
    <row r="13" spans="1:11" ht="24.75" customHeight="1">
      <c r="A13" s="140" t="s">
        <v>184</v>
      </c>
      <c r="B13" s="106">
        <v>78000</v>
      </c>
      <c r="C13" s="11">
        <v>68000</v>
      </c>
      <c r="D13" s="11">
        <v>51000</v>
      </c>
      <c r="E13" s="11">
        <v>7000</v>
      </c>
      <c r="F13" s="11">
        <v>10000</v>
      </c>
      <c r="G13" s="16" t="s">
        <v>222</v>
      </c>
      <c r="H13" s="11">
        <v>10000</v>
      </c>
      <c r="I13" s="204">
        <f t="shared" si="0"/>
        <v>0.87179487179487181</v>
      </c>
      <c r="J13" s="204" t="e">
        <f t="shared" si="1"/>
        <v>#VALUE!</v>
      </c>
      <c r="K13" s="204">
        <f t="shared" si="2"/>
        <v>0.12820512820512819</v>
      </c>
    </row>
    <row r="14" spans="1:11" ht="12.45" customHeight="1">
      <c r="A14" s="140" t="s">
        <v>185</v>
      </c>
      <c r="B14" s="105">
        <v>71000</v>
      </c>
      <c r="C14" s="9">
        <v>59000</v>
      </c>
      <c r="D14" s="9">
        <v>47000</v>
      </c>
      <c r="E14" s="9">
        <v>3000</v>
      </c>
      <c r="F14" s="9">
        <v>9000</v>
      </c>
      <c r="G14" s="9">
        <v>3000</v>
      </c>
      <c r="H14" s="9">
        <v>9000</v>
      </c>
      <c r="I14" s="204">
        <f t="shared" si="0"/>
        <v>0.83098591549295775</v>
      </c>
      <c r="J14" s="204">
        <f t="shared" si="1"/>
        <v>4.2253521126760563E-2</v>
      </c>
      <c r="K14" s="204">
        <f t="shared" si="2"/>
        <v>0.12676056338028169</v>
      </c>
    </row>
    <row r="15" spans="1:11" ht="12.45" customHeight="1">
      <c r="A15" s="139" t="s">
        <v>186</v>
      </c>
      <c r="B15" s="105">
        <v>257000</v>
      </c>
      <c r="C15" s="9">
        <v>215000</v>
      </c>
      <c r="D15" s="9">
        <v>155000</v>
      </c>
      <c r="E15" s="9">
        <v>20000</v>
      </c>
      <c r="F15" s="9">
        <v>40000</v>
      </c>
      <c r="G15" s="9">
        <v>6000</v>
      </c>
      <c r="H15" s="9">
        <v>36000</v>
      </c>
      <c r="I15" s="204">
        <f t="shared" si="0"/>
        <v>0.83657587548638135</v>
      </c>
      <c r="J15" s="204">
        <f t="shared" si="1"/>
        <v>2.3346303501945526E-2</v>
      </c>
      <c r="K15" s="204">
        <f t="shared" si="2"/>
        <v>0.14007782101167315</v>
      </c>
    </row>
    <row r="16" spans="1:11" ht="24.75" customHeight="1">
      <c r="A16" s="140" t="s">
        <v>187</v>
      </c>
      <c r="B16" s="106">
        <v>119000</v>
      </c>
      <c r="C16" s="11">
        <v>97000</v>
      </c>
      <c r="D16" s="11">
        <v>68000</v>
      </c>
      <c r="E16" s="11">
        <v>9000</v>
      </c>
      <c r="F16" s="11">
        <v>21000</v>
      </c>
      <c r="G16" s="11">
        <v>2000</v>
      </c>
      <c r="H16" s="11">
        <v>19000</v>
      </c>
      <c r="I16" s="204">
        <f t="shared" si="0"/>
        <v>0.81512605042016806</v>
      </c>
      <c r="J16" s="204">
        <f t="shared" si="1"/>
        <v>1.680672268907563E-2</v>
      </c>
      <c r="K16" s="204">
        <f t="shared" si="2"/>
        <v>0.15966386554621848</v>
      </c>
    </row>
    <row r="17" spans="1:11" ht="24.75" customHeight="1">
      <c r="A17" s="140" t="s">
        <v>188</v>
      </c>
      <c r="B17" s="106">
        <v>42000</v>
      </c>
      <c r="C17" s="11">
        <v>33000</v>
      </c>
      <c r="D17" s="11">
        <v>27000</v>
      </c>
      <c r="E17" s="16" t="s">
        <v>191</v>
      </c>
      <c r="F17" s="11">
        <v>4000</v>
      </c>
      <c r="G17" s="16" t="s">
        <v>220</v>
      </c>
      <c r="H17" s="16" t="s">
        <v>191</v>
      </c>
      <c r="I17" s="204">
        <f t="shared" si="0"/>
        <v>0.7857142857142857</v>
      </c>
      <c r="J17" s="204" t="e">
        <f t="shared" si="1"/>
        <v>#VALUE!</v>
      </c>
      <c r="K17" s="204" t="e">
        <f t="shared" si="2"/>
        <v>#VALUE!</v>
      </c>
    </row>
    <row r="18" spans="1:11" ht="12.45" customHeight="1">
      <c r="A18" s="140" t="s">
        <v>189</v>
      </c>
      <c r="B18" s="105">
        <v>93000</v>
      </c>
      <c r="C18" s="9">
        <v>82000</v>
      </c>
      <c r="D18" s="9">
        <v>59000</v>
      </c>
      <c r="E18" s="9">
        <v>9000</v>
      </c>
      <c r="F18" s="9">
        <v>15000</v>
      </c>
      <c r="G18" s="9">
        <v>1000</v>
      </c>
      <c r="H18" s="9">
        <v>10000</v>
      </c>
      <c r="I18" s="204">
        <f t="shared" si="0"/>
        <v>0.88172043010752688</v>
      </c>
      <c r="J18" s="204">
        <f t="shared" si="1"/>
        <v>1.0752688172043012E-2</v>
      </c>
      <c r="K18" s="204">
        <f t="shared" si="2"/>
        <v>0.10752688172043011</v>
      </c>
    </row>
    <row r="19" spans="1:11" ht="12.45" customHeight="1">
      <c r="A19" s="140" t="s">
        <v>190</v>
      </c>
      <c r="B19" s="105">
        <v>3000</v>
      </c>
      <c r="C19" s="9">
        <v>2000</v>
      </c>
      <c r="D19" s="9">
        <v>1000</v>
      </c>
      <c r="E19" s="13" t="s">
        <v>220</v>
      </c>
      <c r="F19" s="13" t="s">
        <v>220</v>
      </c>
      <c r="G19" s="13" t="s">
        <v>220</v>
      </c>
      <c r="H19" s="13" t="s">
        <v>220</v>
      </c>
      <c r="I19" s="204">
        <f t="shared" si="0"/>
        <v>0.66666666666666663</v>
      </c>
      <c r="J19" s="204" t="e">
        <f t="shared" si="1"/>
        <v>#VALUE!</v>
      </c>
      <c r="K19" s="204" t="e">
        <f t="shared" si="2"/>
        <v>#VALUE!</v>
      </c>
    </row>
    <row r="20" spans="1:11" ht="12.45" customHeight="1">
      <c r="A20" s="139" t="s">
        <v>192</v>
      </c>
      <c r="B20" s="105">
        <v>428000</v>
      </c>
      <c r="C20" s="9">
        <v>325000</v>
      </c>
      <c r="D20" s="9">
        <v>196000</v>
      </c>
      <c r="E20" s="9">
        <v>19000</v>
      </c>
      <c r="F20" s="9">
        <v>110000</v>
      </c>
      <c r="G20" s="9">
        <v>13000</v>
      </c>
      <c r="H20" s="9">
        <v>90000</v>
      </c>
      <c r="I20" s="204">
        <f t="shared" si="0"/>
        <v>0.75934579439252337</v>
      </c>
      <c r="J20" s="204">
        <f t="shared" si="1"/>
        <v>3.0373831775700934E-2</v>
      </c>
      <c r="K20" s="204">
        <f t="shared" si="2"/>
        <v>0.2102803738317757</v>
      </c>
    </row>
    <row r="21" spans="1:11" ht="12.45" customHeight="1">
      <c r="A21" s="140" t="s">
        <v>193</v>
      </c>
      <c r="B21" s="105">
        <v>55000</v>
      </c>
      <c r="C21" s="9">
        <v>42000</v>
      </c>
      <c r="D21" s="9">
        <v>26000</v>
      </c>
      <c r="E21" s="13" t="s">
        <v>191</v>
      </c>
      <c r="F21" s="9">
        <v>15000</v>
      </c>
      <c r="G21" s="9">
        <v>1000</v>
      </c>
      <c r="H21" s="9">
        <v>13000</v>
      </c>
      <c r="I21" s="204">
        <f t="shared" si="0"/>
        <v>0.76363636363636367</v>
      </c>
      <c r="J21" s="204">
        <f t="shared" si="1"/>
        <v>1.8181818181818181E-2</v>
      </c>
      <c r="K21" s="204">
        <f t="shared" si="2"/>
        <v>0.23636363636363636</v>
      </c>
    </row>
    <row r="22" spans="1:11" ht="12.45" customHeight="1">
      <c r="A22" s="141" t="s">
        <v>194</v>
      </c>
      <c r="B22" s="105">
        <v>51000</v>
      </c>
      <c r="C22" s="9">
        <v>32000</v>
      </c>
      <c r="D22" s="9">
        <v>16000</v>
      </c>
      <c r="E22" s="13" t="s">
        <v>191</v>
      </c>
      <c r="F22" s="9">
        <v>14000</v>
      </c>
      <c r="G22" s="13" t="s">
        <v>191</v>
      </c>
      <c r="H22" s="9">
        <v>13000</v>
      </c>
      <c r="I22" s="204">
        <f t="shared" si="0"/>
        <v>0.62745098039215685</v>
      </c>
      <c r="J22" s="204" t="e">
        <f t="shared" si="1"/>
        <v>#VALUE!</v>
      </c>
      <c r="K22" s="204">
        <f t="shared" si="2"/>
        <v>0.25490196078431371</v>
      </c>
    </row>
    <row r="23" spans="1:11" ht="12.45" customHeight="1">
      <c r="A23" s="140" t="s">
        <v>195</v>
      </c>
      <c r="B23" s="105">
        <v>214000</v>
      </c>
      <c r="C23" s="9">
        <v>165000</v>
      </c>
      <c r="D23" s="9">
        <v>105000</v>
      </c>
      <c r="E23" s="9">
        <v>15000</v>
      </c>
      <c r="F23" s="9">
        <v>46000</v>
      </c>
      <c r="G23" s="9">
        <v>3000</v>
      </c>
      <c r="H23" s="9">
        <v>46000</v>
      </c>
      <c r="I23" s="204">
        <f t="shared" si="0"/>
        <v>0.7710280373831776</v>
      </c>
      <c r="J23" s="204">
        <f t="shared" si="1"/>
        <v>1.4018691588785047E-2</v>
      </c>
      <c r="K23" s="204">
        <f t="shared" si="2"/>
        <v>0.21495327102803738</v>
      </c>
    </row>
    <row r="24" spans="1:11" ht="12.45" customHeight="1">
      <c r="A24" s="140" t="s">
        <v>196</v>
      </c>
      <c r="B24" s="105">
        <v>61000</v>
      </c>
      <c r="C24" s="9">
        <v>46000</v>
      </c>
      <c r="D24" s="9">
        <v>36000</v>
      </c>
      <c r="E24" s="13" t="s">
        <v>220</v>
      </c>
      <c r="F24" s="9">
        <v>10000</v>
      </c>
      <c r="G24" s="13" t="s">
        <v>191</v>
      </c>
      <c r="H24" s="9">
        <v>12000</v>
      </c>
      <c r="I24" s="204">
        <f t="shared" si="0"/>
        <v>0.75409836065573765</v>
      </c>
      <c r="J24" s="204" t="e">
        <f t="shared" si="1"/>
        <v>#VALUE!</v>
      </c>
      <c r="K24" s="204">
        <f t="shared" si="2"/>
        <v>0.19672131147540983</v>
      </c>
    </row>
    <row r="25" spans="1:11" ht="12.45" customHeight="1">
      <c r="A25" s="140" t="s">
        <v>197</v>
      </c>
      <c r="B25" s="105">
        <v>47000</v>
      </c>
      <c r="C25" s="9">
        <v>40000</v>
      </c>
      <c r="D25" s="9">
        <v>14000</v>
      </c>
      <c r="E25" s="13" t="s">
        <v>191</v>
      </c>
      <c r="F25" s="9">
        <v>26000</v>
      </c>
      <c r="G25" s="13" t="s">
        <v>220</v>
      </c>
      <c r="H25" s="9">
        <v>6000</v>
      </c>
      <c r="I25" s="204">
        <f t="shared" si="0"/>
        <v>0.85106382978723405</v>
      </c>
      <c r="J25" s="204" t="e">
        <f t="shared" si="1"/>
        <v>#VALUE!</v>
      </c>
      <c r="K25" s="204">
        <f t="shared" si="2"/>
        <v>0.1276595744680851</v>
      </c>
    </row>
    <row r="26" spans="1:11" ht="12.45" customHeight="1">
      <c r="A26" s="139" t="s">
        <v>198</v>
      </c>
      <c r="B26" s="105">
        <v>301000</v>
      </c>
      <c r="C26" s="9">
        <v>256000</v>
      </c>
      <c r="D26" s="9">
        <v>171000</v>
      </c>
      <c r="E26" s="9">
        <v>34000</v>
      </c>
      <c r="F26" s="9">
        <v>50000</v>
      </c>
      <c r="G26" s="9">
        <v>8000</v>
      </c>
      <c r="H26" s="9">
        <v>38000</v>
      </c>
      <c r="I26" s="204">
        <f t="shared" si="0"/>
        <v>0.85049833887043191</v>
      </c>
      <c r="J26" s="204">
        <f t="shared" si="1"/>
        <v>2.6578073089700997E-2</v>
      </c>
      <c r="K26" s="204">
        <f t="shared" si="2"/>
        <v>0.12624584717607973</v>
      </c>
    </row>
    <row r="27" spans="1:11" ht="24.75" customHeight="1">
      <c r="A27" s="140" t="s">
        <v>199</v>
      </c>
      <c r="B27" s="106">
        <v>13000</v>
      </c>
      <c r="C27" s="11">
        <v>11000</v>
      </c>
      <c r="D27" s="11">
        <v>7000</v>
      </c>
      <c r="E27" s="16" t="s">
        <v>191</v>
      </c>
      <c r="F27" s="16" t="s">
        <v>191</v>
      </c>
      <c r="G27" s="16" t="s">
        <v>220</v>
      </c>
      <c r="H27" s="16" t="s">
        <v>191</v>
      </c>
      <c r="I27" s="204">
        <f t="shared" si="0"/>
        <v>0.84615384615384615</v>
      </c>
      <c r="J27" s="204" t="e">
        <f t="shared" si="1"/>
        <v>#VALUE!</v>
      </c>
      <c r="K27" s="204" t="e">
        <f t="shared" si="2"/>
        <v>#VALUE!</v>
      </c>
    </row>
    <row r="28" spans="1:11" ht="12.45" customHeight="1">
      <c r="A28" s="140" t="s">
        <v>200</v>
      </c>
      <c r="B28" s="105">
        <v>38000</v>
      </c>
      <c r="C28" s="9">
        <v>30000</v>
      </c>
      <c r="D28" s="9">
        <v>17000</v>
      </c>
      <c r="E28" s="9">
        <v>5000</v>
      </c>
      <c r="F28" s="9">
        <v>8000</v>
      </c>
      <c r="G28" s="9">
        <v>1000</v>
      </c>
      <c r="H28" s="9">
        <v>7000</v>
      </c>
      <c r="I28" s="204">
        <f t="shared" si="0"/>
        <v>0.78947368421052633</v>
      </c>
      <c r="J28" s="204">
        <f t="shared" si="1"/>
        <v>2.6315789473684209E-2</v>
      </c>
      <c r="K28" s="204">
        <f t="shared" si="2"/>
        <v>0.18421052631578946</v>
      </c>
    </row>
    <row r="29" spans="1:11" ht="24.75" customHeight="1">
      <c r="A29" s="140" t="s">
        <v>201</v>
      </c>
      <c r="B29" s="106">
        <v>23000</v>
      </c>
      <c r="C29" s="11">
        <v>22000</v>
      </c>
      <c r="D29" s="11">
        <v>17000</v>
      </c>
      <c r="E29" s="11">
        <v>1000</v>
      </c>
      <c r="F29" s="11">
        <v>3000</v>
      </c>
      <c r="G29" s="16" t="s">
        <v>220</v>
      </c>
      <c r="H29" s="11">
        <v>1000</v>
      </c>
      <c r="I29" s="204">
        <f t="shared" si="0"/>
        <v>0.95652173913043481</v>
      </c>
      <c r="J29" s="204" t="e">
        <f t="shared" si="1"/>
        <v>#VALUE!</v>
      </c>
      <c r="K29" s="204">
        <f t="shared" si="2"/>
        <v>4.3478260869565216E-2</v>
      </c>
    </row>
    <row r="30" spans="1:11" ht="24.75" customHeight="1">
      <c r="A30" s="140" t="s">
        <v>202</v>
      </c>
      <c r="B30" s="106">
        <v>94000</v>
      </c>
      <c r="C30" s="11">
        <v>79000</v>
      </c>
      <c r="D30" s="11">
        <v>54000</v>
      </c>
      <c r="E30" s="11">
        <v>13000</v>
      </c>
      <c r="F30" s="11">
        <v>12000</v>
      </c>
      <c r="G30" s="11">
        <v>2000</v>
      </c>
      <c r="H30" s="11">
        <v>13000</v>
      </c>
      <c r="I30" s="204">
        <f t="shared" si="0"/>
        <v>0.84042553191489366</v>
      </c>
      <c r="J30" s="204">
        <f t="shared" si="1"/>
        <v>2.1276595744680851E-2</v>
      </c>
      <c r="K30" s="204">
        <f t="shared" si="2"/>
        <v>0.13829787234042554</v>
      </c>
    </row>
    <row r="31" spans="1:11" ht="12.45" customHeight="1">
      <c r="A31" s="140" t="s">
        <v>203</v>
      </c>
      <c r="B31" s="105">
        <v>13000</v>
      </c>
      <c r="C31" s="9">
        <v>11000</v>
      </c>
      <c r="D31" s="9">
        <v>5000</v>
      </c>
      <c r="E31" s="13" t="s">
        <v>191</v>
      </c>
      <c r="F31" s="9">
        <v>4000</v>
      </c>
      <c r="G31" s="13" t="s">
        <v>220</v>
      </c>
      <c r="H31" s="9">
        <v>2000</v>
      </c>
      <c r="I31" s="204">
        <f t="shared" si="0"/>
        <v>0.84615384615384615</v>
      </c>
      <c r="J31" s="204" t="e">
        <f t="shared" si="1"/>
        <v>#VALUE!</v>
      </c>
      <c r="K31" s="204">
        <f t="shared" si="2"/>
        <v>0.15384615384615385</v>
      </c>
    </row>
    <row r="32" spans="1:11" ht="12.45" customHeight="1">
      <c r="A32" s="140" t="s">
        <v>204</v>
      </c>
      <c r="B32" s="105">
        <v>33000</v>
      </c>
      <c r="C32" s="9">
        <v>29000</v>
      </c>
      <c r="D32" s="9">
        <v>21000</v>
      </c>
      <c r="E32" s="9">
        <v>2000</v>
      </c>
      <c r="F32" s="9">
        <v>6000</v>
      </c>
      <c r="G32" s="13" t="s">
        <v>222</v>
      </c>
      <c r="H32" s="9">
        <v>4000</v>
      </c>
      <c r="I32" s="204">
        <f t="shared" si="0"/>
        <v>0.87878787878787878</v>
      </c>
      <c r="J32" s="204" t="e">
        <f t="shared" si="1"/>
        <v>#VALUE!</v>
      </c>
      <c r="K32" s="204">
        <f t="shared" si="2"/>
        <v>0.12121212121212122</v>
      </c>
    </row>
    <row r="33" spans="1:11" ht="12.45" customHeight="1">
      <c r="A33" s="140" t="s">
        <v>205</v>
      </c>
      <c r="B33" s="105">
        <v>87000</v>
      </c>
      <c r="C33" s="9">
        <v>75000</v>
      </c>
      <c r="D33" s="9">
        <v>51000</v>
      </c>
      <c r="E33" s="9">
        <v>9000</v>
      </c>
      <c r="F33" s="9">
        <v>16000</v>
      </c>
      <c r="G33" s="9">
        <v>3000</v>
      </c>
      <c r="H33" s="9">
        <v>9000</v>
      </c>
      <c r="I33" s="204">
        <f t="shared" si="0"/>
        <v>0.86206896551724133</v>
      </c>
      <c r="J33" s="204">
        <f t="shared" si="1"/>
        <v>3.4482758620689655E-2</v>
      </c>
      <c r="K33" s="204">
        <f t="shared" si="2"/>
        <v>0.10344827586206896</v>
      </c>
    </row>
    <row r="34" spans="1:11" ht="12.45" customHeight="1">
      <c r="A34" s="138" t="s">
        <v>206</v>
      </c>
      <c r="B34" s="105">
        <v>355000</v>
      </c>
      <c r="C34" s="9">
        <v>304000</v>
      </c>
      <c r="D34" s="9">
        <v>51000</v>
      </c>
      <c r="E34" s="9">
        <v>192000</v>
      </c>
      <c r="F34" s="9">
        <v>61000</v>
      </c>
      <c r="G34" s="9">
        <v>11000</v>
      </c>
      <c r="H34" s="9">
        <v>39000</v>
      </c>
      <c r="I34" s="204">
        <f t="shared" si="0"/>
        <v>0.85633802816901405</v>
      </c>
      <c r="J34" s="204">
        <f t="shared" si="1"/>
        <v>3.0985915492957747E-2</v>
      </c>
      <c r="K34" s="204">
        <f t="shared" si="2"/>
        <v>0.10985915492957747</v>
      </c>
    </row>
    <row r="35" spans="1:11" ht="12.45" customHeight="1">
      <c r="A35" s="139" t="s">
        <v>207</v>
      </c>
      <c r="B35" s="105">
        <v>312000</v>
      </c>
      <c r="C35" s="9">
        <v>275000</v>
      </c>
      <c r="D35" s="9">
        <v>40000</v>
      </c>
      <c r="E35" s="9">
        <v>189000</v>
      </c>
      <c r="F35" s="9">
        <v>46000</v>
      </c>
      <c r="G35" s="13" t="s">
        <v>191</v>
      </c>
      <c r="H35" s="9">
        <v>29000</v>
      </c>
      <c r="I35" s="204">
        <f t="shared" si="0"/>
        <v>0.88141025641025639</v>
      </c>
      <c r="J35" s="204" t="e">
        <f t="shared" si="1"/>
        <v>#VALUE!</v>
      </c>
      <c r="K35" s="204">
        <f t="shared" si="2"/>
        <v>9.2948717948717952E-2</v>
      </c>
    </row>
    <row r="36" spans="1:11" ht="24.75" customHeight="1">
      <c r="A36" s="139" t="s">
        <v>208</v>
      </c>
      <c r="B36" s="106">
        <v>24000</v>
      </c>
      <c r="C36" s="11">
        <v>14000</v>
      </c>
      <c r="D36" s="11">
        <v>5000</v>
      </c>
      <c r="E36" s="11">
        <v>1000</v>
      </c>
      <c r="F36" s="11">
        <v>8000</v>
      </c>
      <c r="G36" s="16" t="s">
        <v>220</v>
      </c>
      <c r="H36" s="11">
        <v>8000</v>
      </c>
      <c r="I36" s="204">
        <f t="shared" si="0"/>
        <v>0.58333333333333337</v>
      </c>
      <c r="J36" s="204" t="e">
        <f t="shared" si="1"/>
        <v>#VALUE!</v>
      </c>
      <c r="K36" s="204">
        <f t="shared" si="2"/>
        <v>0.33333333333333331</v>
      </c>
    </row>
    <row r="37" spans="1:11" ht="12.45" customHeight="1">
      <c r="A37" s="141" t="s">
        <v>209</v>
      </c>
      <c r="B37" s="105">
        <v>12000</v>
      </c>
      <c r="C37" s="9">
        <v>9000</v>
      </c>
      <c r="D37" s="9">
        <v>5000</v>
      </c>
      <c r="E37" s="9">
        <v>2000</v>
      </c>
      <c r="F37" s="13" t="s">
        <v>191</v>
      </c>
      <c r="G37" s="13" t="s">
        <v>220</v>
      </c>
      <c r="H37" s="13" t="s">
        <v>191</v>
      </c>
      <c r="I37" s="204">
        <f t="shared" si="0"/>
        <v>0.75</v>
      </c>
      <c r="J37" s="204" t="e">
        <f t="shared" si="1"/>
        <v>#VALUE!</v>
      </c>
      <c r="K37" s="204" t="e">
        <f t="shared" si="2"/>
        <v>#VALUE!</v>
      </c>
    </row>
    <row r="38" spans="1:11" ht="12.45" customHeight="1">
      <c r="A38" s="139" t="s">
        <v>210</v>
      </c>
      <c r="B38" s="105">
        <v>7000</v>
      </c>
      <c r="C38" s="9">
        <v>7000</v>
      </c>
      <c r="D38" s="9">
        <v>2000</v>
      </c>
      <c r="E38" s="13" t="s">
        <v>220</v>
      </c>
      <c r="F38" s="9">
        <v>4000</v>
      </c>
      <c r="G38" s="13" t="s">
        <v>220</v>
      </c>
      <c r="H38" s="13" t="s">
        <v>220</v>
      </c>
      <c r="I38" s="204">
        <f t="shared" si="0"/>
        <v>1</v>
      </c>
      <c r="J38" s="204" t="e">
        <f t="shared" si="1"/>
        <v>#VALUE!</v>
      </c>
      <c r="K38" s="204" t="e">
        <f t="shared" si="2"/>
        <v>#VALUE!</v>
      </c>
    </row>
    <row r="39" spans="1:11" ht="12.45" customHeight="1">
      <c r="A39" s="138" t="s">
        <v>211</v>
      </c>
      <c r="B39" s="105">
        <v>707000</v>
      </c>
      <c r="C39" s="9">
        <v>534000</v>
      </c>
      <c r="D39" s="9">
        <v>50000</v>
      </c>
      <c r="E39" s="9">
        <v>25000</v>
      </c>
      <c r="F39" s="9">
        <v>459000</v>
      </c>
      <c r="G39" s="9">
        <v>24000</v>
      </c>
      <c r="H39" s="9">
        <v>148000</v>
      </c>
      <c r="I39" s="204">
        <f t="shared" si="0"/>
        <v>0.75530410183875529</v>
      </c>
      <c r="J39" s="204">
        <f t="shared" si="1"/>
        <v>3.3946251768033946E-2</v>
      </c>
      <c r="K39" s="204">
        <f t="shared" si="2"/>
        <v>0.20933521923620935</v>
      </c>
    </row>
    <row r="40" spans="1:11" ht="24.75" customHeight="1">
      <c r="A40" s="139" t="s">
        <v>212</v>
      </c>
      <c r="B40" s="106">
        <v>71000</v>
      </c>
      <c r="C40" s="11">
        <v>56000</v>
      </c>
      <c r="D40" s="11">
        <v>6000</v>
      </c>
      <c r="E40" s="16" t="s">
        <v>220</v>
      </c>
      <c r="F40" s="11">
        <v>48000</v>
      </c>
      <c r="G40" s="11">
        <v>6000</v>
      </c>
      <c r="H40" s="11">
        <v>10000</v>
      </c>
      <c r="I40" s="204">
        <f t="shared" si="0"/>
        <v>0.78873239436619713</v>
      </c>
      <c r="J40" s="204">
        <f t="shared" si="1"/>
        <v>8.4507042253521125E-2</v>
      </c>
      <c r="K40" s="204">
        <f t="shared" si="2"/>
        <v>0.14084507042253522</v>
      </c>
    </row>
    <row r="41" spans="1:11" ht="24.75" customHeight="1">
      <c r="A41" s="139" t="s">
        <v>213</v>
      </c>
      <c r="B41" s="106">
        <v>239000</v>
      </c>
      <c r="C41" s="11">
        <v>171000</v>
      </c>
      <c r="D41" s="11">
        <v>9000</v>
      </c>
      <c r="E41" s="11">
        <v>17000</v>
      </c>
      <c r="F41" s="11">
        <v>145000</v>
      </c>
      <c r="G41" s="16" t="s">
        <v>191</v>
      </c>
      <c r="H41" s="11">
        <v>63000</v>
      </c>
      <c r="I41" s="204">
        <f t="shared" si="0"/>
        <v>0.71548117154811719</v>
      </c>
      <c r="J41" s="204" t="e">
        <f t="shared" si="1"/>
        <v>#VALUE!</v>
      </c>
      <c r="K41" s="204">
        <f t="shared" si="2"/>
        <v>0.26359832635983266</v>
      </c>
    </row>
    <row r="42" spans="1:11" ht="12.45" customHeight="1">
      <c r="A42" s="141" t="s">
        <v>214</v>
      </c>
      <c r="B42" s="105">
        <v>122000</v>
      </c>
      <c r="C42" s="9">
        <v>83000</v>
      </c>
      <c r="D42" s="9">
        <v>13000</v>
      </c>
      <c r="E42" s="13" t="s">
        <v>191</v>
      </c>
      <c r="F42" s="9">
        <v>68000</v>
      </c>
      <c r="G42" s="9">
        <v>10000</v>
      </c>
      <c r="H42" s="9">
        <v>29000</v>
      </c>
      <c r="I42" s="204">
        <f t="shared" si="0"/>
        <v>0.68032786885245899</v>
      </c>
      <c r="J42" s="204">
        <f t="shared" si="1"/>
        <v>8.1967213114754092E-2</v>
      </c>
      <c r="K42" s="204">
        <f t="shared" si="2"/>
        <v>0.23770491803278687</v>
      </c>
    </row>
    <row r="43" spans="1:11" ht="12.45" customHeight="1">
      <c r="A43" s="139" t="s">
        <v>215</v>
      </c>
      <c r="B43" s="105">
        <v>6000</v>
      </c>
      <c r="C43" s="9">
        <v>4000</v>
      </c>
      <c r="D43" s="13" t="s">
        <v>220</v>
      </c>
      <c r="E43" s="13" t="s">
        <v>220</v>
      </c>
      <c r="F43" s="9">
        <v>4000</v>
      </c>
      <c r="G43" s="13" t="s">
        <v>220</v>
      </c>
      <c r="H43" s="13" t="s">
        <v>220</v>
      </c>
      <c r="I43" s="204">
        <f t="shared" si="0"/>
        <v>0.66666666666666663</v>
      </c>
      <c r="J43" s="204" t="e">
        <f t="shared" si="1"/>
        <v>#VALUE!</v>
      </c>
      <c r="K43" s="204" t="e">
        <f t="shared" si="2"/>
        <v>#VALUE!</v>
      </c>
    </row>
  </sheetData>
  <mergeCells count="9">
    <mergeCell ref="J3:J4"/>
    <mergeCell ref="K3:K4"/>
    <mergeCell ref="A1:I1"/>
    <mergeCell ref="A3:A4"/>
    <mergeCell ref="B3:B4"/>
    <mergeCell ref="C3:F3"/>
    <mergeCell ref="G3:G4"/>
    <mergeCell ref="H3:H4"/>
    <mergeCell ref="I3:I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
  <sheetViews>
    <sheetView workbookViewId="0">
      <selection activeCell="A4" sqref="A4:K11"/>
    </sheetView>
  </sheetViews>
  <sheetFormatPr defaultRowHeight="13.2"/>
  <cols>
    <col min="1" max="1" width="32.77734375" customWidth="1"/>
    <col min="2" max="3" width="11.109375" customWidth="1"/>
    <col min="4" max="4" width="13.109375" customWidth="1"/>
    <col min="5" max="5" width="16" customWidth="1"/>
    <col min="6" max="6" width="15.109375" customWidth="1"/>
    <col min="7" max="7" width="12.109375" customWidth="1"/>
    <col min="8" max="8" width="13.33203125" customWidth="1"/>
    <col min="9" max="9" width="16.77734375" customWidth="1"/>
    <col min="10" max="10" width="13.109375" bestFit="1" customWidth="1"/>
    <col min="11" max="11" width="18.109375" bestFit="1" customWidth="1"/>
  </cols>
  <sheetData>
    <row r="1" spans="1:11" ht="42.75" customHeight="1">
      <c r="A1" s="314" t="s">
        <v>165</v>
      </c>
      <c r="B1" s="314"/>
      <c r="C1" s="314"/>
      <c r="D1" s="314"/>
      <c r="E1" s="314"/>
      <c r="F1" s="314"/>
      <c r="G1" s="314"/>
      <c r="H1" s="314"/>
      <c r="I1" s="314"/>
    </row>
    <row r="2" spans="1:11" ht="13.95" customHeight="1">
      <c r="A2" s="326" t="s">
        <v>166</v>
      </c>
      <c r="B2" s="328" t="s">
        <v>167</v>
      </c>
      <c r="C2" s="330" t="s">
        <v>168</v>
      </c>
      <c r="D2" s="331"/>
      <c r="E2" s="331"/>
      <c r="F2" s="332"/>
      <c r="G2" s="333" t="s">
        <v>169</v>
      </c>
      <c r="H2" s="335" t="s">
        <v>170</v>
      </c>
      <c r="I2" s="337" t="s">
        <v>171</v>
      </c>
      <c r="J2" s="319" t="s">
        <v>172</v>
      </c>
      <c r="K2" s="319" t="s">
        <v>173</v>
      </c>
    </row>
    <row r="3" spans="1:11" ht="25.5" customHeight="1">
      <c r="A3" s="327"/>
      <c r="B3" s="329"/>
      <c r="C3" s="3" t="s">
        <v>167</v>
      </c>
      <c r="D3" s="4" t="s">
        <v>174</v>
      </c>
      <c r="E3" s="5" t="s">
        <v>175</v>
      </c>
      <c r="F3" s="5" t="s">
        <v>176</v>
      </c>
      <c r="G3" s="334"/>
      <c r="H3" s="336"/>
      <c r="I3" s="337"/>
      <c r="J3" s="320"/>
      <c r="K3" s="320"/>
    </row>
    <row r="4" spans="1:11" ht="12.45" customHeight="1">
      <c r="A4" s="139" t="s">
        <v>216</v>
      </c>
      <c r="B4" s="107">
        <v>193000</v>
      </c>
      <c r="C4" s="7">
        <v>160000</v>
      </c>
      <c r="D4" s="7">
        <v>5000</v>
      </c>
      <c r="E4" s="7">
        <v>1000</v>
      </c>
      <c r="F4" s="7">
        <v>155000</v>
      </c>
      <c r="G4" s="19" t="s">
        <v>220</v>
      </c>
      <c r="H4" s="7">
        <v>32000</v>
      </c>
      <c r="I4" s="204">
        <f>C4/B4</f>
        <v>0.82901554404145072</v>
      </c>
      <c r="J4" s="204" t="e">
        <f>G4/B4</f>
        <v>#VALUE!</v>
      </c>
      <c r="K4" s="204">
        <f>H4/B4</f>
        <v>0.16580310880829016</v>
      </c>
    </row>
    <row r="5" spans="1:11" ht="12.45" customHeight="1">
      <c r="A5" s="139" t="s">
        <v>217</v>
      </c>
      <c r="B5" s="105">
        <v>75000</v>
      </c>
      <c r="C5" s="9">
        <v>60000</v>
      </c>
      <c r="D5" s="9">
        <v>18000</v>
      </c>
      <c r="E5" s="13" t="s">
        <v>191</v>
      </c>
      <c r="F5" s="9">
        <v>38000</v>
      </c>
      <c r="G5" s="13" t="s">
        <v>220</v>
      </c>
      <c r="H5" s="9">
        <v>14000</v>
      </c>
      <c r="I5" s="204">
        <f t="shared" ref="I5:I9" si="0">C5/B5</f>
        <v>0.8</v>
      </c>
      <c r="J5" s="204" t="e">
        <f t="shared" ref="J5:J9" si="1">G5/B5</f>
        <v>#VALUE!</v>
      </c>
      <c r="K5" s="204">
        <f t="shared" ref="K5:K9" si="2">H5/B5</f>
        <v>0.18666666666666668</v>
      </c>
    </row>
    <row r="6" spans="1:11" ht="12.45" customHeight="1">
      <c r="A6" s="111" t="s">
        <v>223</v>
      </c>
      <c r="B6" s="109">
        <v>3784000</v>
      </c>
      <c r="C6" s="104">
        <v>3246000</v>
      </c>
      <c r="D6" s="104">
        <v>82000</v>
      </c>
      <c r="E6" s="104">
        <v>1538000</v>
      </c>
      <c r="F6" s="104">
        <v>1626000</v>
      </c>
      <c r="G6" s="104">
        <v>63000</v>
      </c>
      <c r="H6" s="104">
        <v>474000</v>
      </c>
      <c r="I6" s="204">
        <f t="shared" si="0"/>
        <v>0.85782241014799154</v>
      </c>
      <c r="J6" s="204">
        <f t="shared" si="1"/>
        <v>1.6649048625792813E-2</v>
      </c>
      <c r="K6" s="204">
        <f t="shared" si="2"/>
        <v>0.12526427061310783</v>
      </c>
    </row>
    <row r="7" spans="1:11" ht="12.45" customHeight="1">
      <c r="A7" s="112" t="s">
        <v>178</v>
      </c>
      <c r="B7" s="105">
        <v>58000</v>
      </c>
      <c r="C7" s="9">
        <v>49000</v>
      </c>
      <c r="D7" s="9">
        <v>28000</v>
      </c>
      <c r="E7" s="13" t="s">
        <v>191</v>
      </c>
      <c r="F7" s="9">
        <v>16000</v>
      </c>
      <c r="G7" s="13" t="s">
        <v>220</v>
      </c>
      <c r="H7" s="9">
        <v>9000</v>
      </c>
      <c r="I7" s="204">
        <f t="shared" si="0"/>
        <v>0.84482758620689657</v>
      </c>
      <c r="J7" s="204" t="e">
        <f t="shared" si="1"/>
        <v>#VALUE!</v>
      </c>
      <c r="K7" s="204">
        <f t="shared" si="2"/>
        <v>0.15517241379310345</v>
      </c>
    </row>
    <row r="8" spans="1:11" ht="12.45" customHeight="1">
      <c r="A8" s="112" t="s">
        <v>206</v>
      </c>
      <c r="B8" s="105">
        <v>1825000</v>
      </c>
      <c r="C8" s="9">
        <v>1616000</v>
      </c>
      <c r="D8" s="9">
        <v>29000</v>
      </c>
      <c r="E8" s="9">
        <v>1506000</v>
      </c>
      <c r="F8" s="9">
        <v>82000</v>
      </c>
      <c r="G8" s="9">
        <v>26000</v>
      </c>
      <c r="H8" s="9">
        <v>183000</v>
      </c>
      <c r="I8" s="204">
        <f t="shared" si="0"/>
        <v>0.8854794520547945</v>
      </c>
      <c r="J8" s="204">
        <f t="shared" si="1"/>
        <v>1.4246575342465753E-2</v>
      </c>
      <c r="K8" s="204">
        <f t="shared" si="2"/>
        <v>0.10027397260273972</v>
      </c>
    </row>
    <row r="9" spans="1:11" ht="12.45" customHeight="1">
      <c r="A9" s="112" t="s">
        <v>211</v>
      </c>
      <c r="B9" s="110">
        <v>1900000</v>
      </c>
      <c r="C9" s="21">
        <v>1582000</v>
      </c>
      <c r="D9" s="21">
        <v>25000</v>
      </c>
      <c r="E9" s="21">
        <v>28000</v>
      </c>
      <c r="F9" s="21">
        <v>1528000</v>
      </c>
      <c r="G9" s="21">
        <v>37000</v>
      </c>
      <c r="H9" s="21">
        <v>282000</v>
      </c>
      <c r="I9" s="204">
        <f t="shared" si="0"/>
        <v>0.83263157894736839</v>
      </c>
      <c r="J9" s="204">
        <f t="shared" si="1"/>
        <v>1.9473684210526317E-2</v>
      </c>
      <c r="K9" s="204">
        <f t="shared" si="2"/>
        <v>0.14842105263157895</v>
      </c>
    </row>
    <row r="10" spans="1:11" ht="21.45" customHeight="1">
      <c r="A10" s="313" t="s">
        <v>224</v>
      </c>
      <c r="B10" s="313"/>
      <c r="C10" s="313"/>
      <c r="D10" s="313"/>
      <c r="E10" s="313"/>
      <c r="F10" s="313"/>
      <c r="G10" s="313"/>
      <c r="H10" s="313"/>
      <c r="I10" s="313"/>
    </row>
    <row r="11" spans="1:11" ht="128.25" customHeight="1">
      <c r="A11" s="314" t="s">
        <v>225</v>
      </c>
      <c r="B11" s="314"/>
      <c r="C11" s="314"/>
      <c r="D11" s="314"/>
      <c r="E11" s="314"/>
      <c r="F11" s="314"/>
      <c r="G11" s="314"/>
      <c r="H11" s="314"/>
      <c r="I11" s="314"/>
    </row>
    <row r="12" spans="1:11" ht="1.95" customHeight="1"/>
  </sheetData>
  <mergeCells count="11">
    <mergeCell ref="J2:J3"/>
    <mergeCell ref="K2:K3"/>
    <mergeCell ref="A10:I10"/>
    <mergeCell ref="A11:I11"/>
    <mergeCell ref="A1:I1"/>
    <mergeCell ref="A2:A3"/>
    <mergeCell ref="B2:B3"/>
    <mergeCell ref="C2:F2"/>
    <mergeCell ref="G2:G3"/>
    <mergeCell ref="H2:H3"/>
    <mergeCell ref="I2:I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76"/>
  <sheetViews>
    <sheetView workbookViewId="0">
      <pane ySplit="4" topLeftCell="A9" activePane="bottomLeft" state="frozen"/>
      <selection pane="bottomLeft" activeCell="B16" sqref="B16"/>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12.45" customHeight="1">
      <c r="A5" s="128" t="s">
        <v>232</v>
      </c>
      <c r="B5" s="127">
        <v>51764000</v>
      </c>
      <c r="C5" s="126">
        <v>7894000</v>
      </c>
      <c r="D5" s="126">
        <v>794000</v>
      </c>
      <c r="E5" s="126">
        <v>4031000</v>
      </c>
      <c r="F5" s="126">
        <v>408000</v>
      </c>
      <c r="G5" s="126">
        <v>712000</v>
      </c>
      <c r="H5" s="126">
        <v>1949000</v>
      </c>
      <c r="I5" s="126">
        <v>9522000</v>
      </c>
      <c r="J5" s="126">
        <v>34349000</v>
      </c>
    </row>
    <row r="6" spans="1:11" ht="12.45" customHeight="1">
      <c r="A6" s="129" t="s">
        <v>178</v>
      </c>
      <c r="B6" s="105">
        <v>16408000</v>
      </c>
      <c r="C6" s="9">
        <v>6059000</v>
      </c>
      <c r="D6" s="9">
        <v>651000</v>
      </c>
      <c r="E6" s="9">
        <v>2848000</v>
      </c>
      <c r="F6" s="9">
        <v>374000</v>
      </c>
      <c r="G6" s="9">
        <v>499000</v>
      </c>
      <c r="H6" s="9">
        <v>1686000</v>
      </c>
      <c r="I6" s="9">
        <v>2405000</v>
      </c>
      <c r="J6" s="9">
        <v>7944000</v>
      </c>
    </row>
    <row r="7" spans="1:11" ht="49.5" customHeight="1">
      <c r="A7" s="130" t="s">
        <v>179</v>
      </c>
      <c r="B7" s="132">
        <v>2570000</v>
      </c>
      <c r="C7" s="25">
        <v>768000</v>
      </c>
      <c r="D7" s="25">
        <v>537000</v>
      </c>
      <c r="E7" s="25">
        <v>103000</v>
      </c>
      <c r="F7" s="25">
        <v>80000</v>
      </c>
      <c r="G7" s="25">
        <v>18000</v>
      </c>
      <c r="H7" s="25">
        <v>30000</v>
      </c>
      <c r="I7" s="25">
        <v>667000</v>
      </c>
      <c r="J7" s="25">
        <v>1136000</v>
      </c>
    </row>
    <row r="8" spans="1:11" ht="24.75" customHeight="1">
      <c r="A8" s="131" t="s">
        <v>180</v>
      </c>
      <c r="B8" s="106">
        <v>308000</v>
      </c>
      <c r="C8" s="11">
        <v>73000</v>
      </c>
      <c r="D8" s="11">
        <v>59000</v>
      </c>
      <c r="E8" s="16" t="s">
        <v>191</v>
      </c>
      <c r="F8" s="11">
        <v>5000</v>
      </c>
      <c r="G8" s="16" t="s">
        <v>220</v>
      </c>
      <c r="H8" s="11">
        <v>3000</v>
      </c>
      <c r="I8" s="11">
        <v>40000</v>
      </c>
      <c r="J8" s="11">
        <v>195000</v>
      </c>
    </row>
    <row r="9" spans="1:11" ht="24.75" customHeight="1">
      <c r="A9" s="131" t="s">
        <v>181</v>
      </c>
      <c r="B9" s="106">
        <v>1937000</v>
      </c>
      <c r="C9" s="11">
        <v>610000</v>
      </c>
      <c r="D9" s="11">
        <v>443000</v>
      </c>
      <c r="E9" s="11">
        <v>88000</v>
      </c>
      <c r="F9" s="11">
        <v>50000</v>
      </c>
      <c r="G9" s="11">
        <v>13000</v>
      </c>
      <c r="H9" s="11">
        <v>16000</v>
      </c>
      <c r="I9" s="11">
        <v>591000</v>
      </c>
      <c r="J9" s="11">
        <v>737000</v>
      </c>
    </row>
    <row r="10" spans="1:11" ht="24.75" customHeight="1">
      <c r="A10" s="131" t="s">
        <v>182</v>
      </c>
      <c r="B10" s="106">
        <v>325000</v>
      </c>
      <c r="C10" s="11">
        <v>85000</v>
      </c>
      <c r="D10" s="11">
        <v>35000</v>
      </c>
      <c r="E10" s="11">
        <v>10000</v>
      </c>
      <c r="F10" s="11">
        <v>25000</v>
      </c>
      <c r="G10" s="11">
        <v>4000</v>
      </c>
      <c r="H10" s="11">
        <v>11000</v>
      </c>
      <c r="I10" s="11">
        <v>36000</v>
      </c>
      <c r="J10" s="11">
        <v>204000</v>
      </c>
    </row>
    <row r="11" spans="1:11" ht="36.75" customHeight="1">
      <c r="A11" s="130" t="s">
        <v>183</v>
      </c>
      <c r="B11" s="132">
        <v>3147000</v>
      </c>
      <c r="C11" s="25">
        <v>1795000</v>
      </c>
      <c r="D11" s="25">
        <v>7000</v>
      </c>
      <c r="E11" s="25">
        <v>1724000</v>
      </c>
      <c r="F11" s="25">
        <v>3000</v>
      </c>
      <c r="G11" s="25">
        <v>10000</v>
      </c>
      <c r="H11" s="25">
        <v>51000</v>
      </c>
      <c r="I11" s="25">
        <v>463000</v>
      </c>
      <c r="J11" s="25">
        <v>889000</v>
      </c>
    </row>
    <row r="12" spans="1:11" ht="36.75" customHeight="1">
      <c r="A12" s="131" t="s">
        <v>184</v>
      </c>
      <c r="B12" s="132">
        <v>2493000</v>
      </c>
      <c r="C12" s="25">
        <v>1556000</v>
      </c>
      <c r="D12" s="26" t="s">
        <v>191</v>
      </c>
      <c r="E12" s="25">
        <v>1506000</v>
      </c>
      <c r="F12" s="26" t="s">
        <v>191</v>
      </c>
      <c r="G12" s="25">
        <v>5000</v>
      </c>
      <c r="H12" s="25">
        <v>39000</v>
      </c>
      <c r="I12" s="25">
        <v>324000</v>
      </c>
      <c r="J12" s="25">
        <v>614000</v>
      </c>
    </row>
    <row r="13" spans="1:11" ht="24.75" customHeight="1">
      <c r="A13" s="131" t="s">
        <v>185</v>
      </c>
      <c r="B13" s="106">
        <v>654000</v>
      </c>
      <c r="C13" s="11">
        <v>239000</v>
      </c>
      <c r="D13" s="11">
        <v>3000</v>
      </c>
      <c r="E13" s="11">
        <v>217000</v>
      </c>
      <c r="F13" s="11">
        <v>1000</v>
      </c>
      <c r="G13" s="16" t="s">
        <v>191</v>
      </c>
      <c r="H13" s="11">
        <v>12000</v>
      </c>
      <c r="I13" s="11">
        <v>140000</v>
      </c>
      <c r="J13" s="11">
        <v>276000</v>
      </c>
    </row>
    <row r="14" spans="1:11" ht="24.75" customHeight="1">
      <c r="A14" s="130" t="s">
        <v>186</v>
      </c>
      <c r="B14" s="106">
        <v>906000</v>
      </c>
      <c r="C14" s="11">
        <v>461000</v>
      </c>
      <c r="D14" s="11">
        <v>54000</v>
      </c>
      <c r="E14" s="11">
        <v>91000</v>
      </c>
      <c r="F14" s="11">
        <v>254000</v>
      </c>
      <c r="G14" s="11">
        <v>4000</v>
      </c>
      <c r="H14" s="11">
        <v>58000</v>
      </c>
      <c r="I14" s="11">
        <v>148000</v>
      </c>
      <c r="J14" s="11">
        <v>297000</v>
      </c>
    </row>
    <row r="15" spans="1:11" ht="24.75" customHeight="1">
      <c r="A15" s="131" t="s">
        <v>187</v>
      </c>
      <c r="B15" s="106">
        <v>376000</v>
      </c>
      <c r="C15" s="11">
        <v>189000</v>
      </c>
      <c r="D15" s="11">
        <v>42000</v>
      </c>
      <c r="E15" s="11">
        <v>27000</v>
      </c>
      <c r="F15" s="11">
        <v>96000</v>
      </c>
      <c r="G15" s="11">
        <v>2000</v>
      </c>
      <c r="H15" s="11">
        <v>22000</v>
      </c>
      <c r="I15" s="11">
        <v>75000</v>
      </c>
      <c r="J15" s="11">
        <v>113000</v>
      </c>
    </row>
    <row r="16" spans="1:11" ht="36.75" customHeight="1">
      <c r="A16" s="131" t="s">
        <v>188</v>
      </c>
      <c r="B16" s="132">
        <v>263000</v>
      </c>
      <c r="C16" s="25">
        <v>120000</v>
      </c>
      <c r="D16" s="25">
        <v>7000</v>
      </c>
      <c r="E16" s="25">
        <v>11000</v>
      </c>
      <c r="F16" s="25">
        <v>88000</v>
      </c>
      <c r="G16" s="26" t="s">
        <v>191</v>
      </c>
      <c r="H16" s="25">
        <v>13000</v>
      </c>
      <c r="I16" s="25">
        <v>31000</v>
      </c>
      <c r="J16" s="25">
        <v>112000</v>
      </c>
    </row>
    <row r="17" spans="1:10" ht="24.75" customHeight="1">
      <c r="A17" s="131" t="s">
        <v>189</v>
      </c>
      <c r="B17" s="106">
        <v>240000</v>
      </c>
      <c r="C17" s="11">
        <v>146000</v>
      </c>
      <c r="D17" s="11">
        <v>4000</v>
      </c>
      <c r="E17" s="11">
        <v>51000</v>
      </c>
      <c r="F17" s="11">
        <v>67000</v>
      </c>
      <c r="G17" s="16" t="s">
        <v>191</v>
      </c>
      <c r="H17" s="11">
        <v>23000</v>
      </c>
      <c r="I17" s="11">
        <v>34000</v>
      </c>
      <c r="J17" s="11">
        <v>61000</v>
      </c>
    </row>
    <row r="18" spans="1:10" ht="24.75" customHeight="1">
      <c r="A18" s="131" t="s">
        <v>190</v>
      </c>
      <c r="B18" s="106">
        <v>26000</v>
      </c>
      <c r="C18" s="11">
        <v>6000</v>
      </c>
      <c r="D18" s="16" t="s">
        <v>191</v>
      </c>
      <c r="E18" s="16" t="s">
        <v>191</v>
      </c>
      <c r="F18" s="16" t="s">
        <v>191</v>
      </c>
      <c r="G18" s="16" t="s">
        <v>220</v>
      </c>
      <c r="H18" s="16" t="s">
        <v>191</v>
      </c>
      <c r="I18" s="11">
        <v>8000</v>
      </c>
      <c r="J18" s="11">
        <v>11000</v>
      </c>
    </row>
    <row r="19" spans="1:10" ht="24.75" customHeight="1">
      <c r="A19" s="130" t="s">
        <v>192</v>
      </c>
      <c r="B19" s="106">
        <v>5774000</v>
      </c>
      <c r="C19" s="11">
        <v>758000</v>
      </c>
      <c r="D19" s="11">
        <v>22000</v>
      </c>
      <c r="E19" s="11">
        <v>239000</v>
      </c>
      <c r="F19" s="11">
        <v>10000</v>
      </c>
      <c r="G19" s="11">
        <v>462000</v>
      </c>
      <c r="H19" s="11">
        <v>25000</v>
      </c>
      <c r="I19" s="11">
        <v>486000</v>
      </c>
      <c r="J19" s="11">
        <v>4529000</v>
      </c>
    </row>
    <row r="20" spans="1:10" ht="12.45" customHeight="1">
      <c r="A20" s="133" t="s">
        <v>193</v>
      </c>
      <c r="B20" s="105">
        <v>869000</v>
      </c>
      <c r="C20" s="9">
        <v>123000</v>
      </c>
      <c r="D20" s="9">
        <v>2000</v>
      </c>
      <c r="E20" s="9">
        <v>60000</v>
      </c>
      <c r="F20" s="13" t="s">
        <v>191</v>
      </c>
      <c r="G20" s="9">
        <v>54000</v>
      </c>
      <c r="H20" s="9">
        <v>6000</v>
      </c>
      <c r="I20" s="9">
        <v>37000</v>
      </c>
      <c r="J20" s="9">
        <v>708000</v>
      </c>
    </row>
    <row r="21" spans="1:10" ht="24.75" customHeight="1">
      <c r="A21" s="131" t="s">
        <v>194</v>
      </c>
      <c r="B21" s="106">
        <v>1039000</v>
      </c>
      <c r="C21" s="11">
        <v>115000</v>
      </c>
      <c r="D21" s="11">
        <v>1000</v>
      </c>
      <c r="E21" s="11">
        <v>44000</v>
      </c>
      <c r="F21" s="16" t="s">
        <v>191</v>
      </c>
      <c r="G21" s="11">
        <v>63000</v>
      </c>
      <c r="H21" s="11">
        <v>7000</v>
      </c>
      <c r="I21" s="11">
        <v>67000</v>
      </c>
      <c r="J21" s="11">
        <v>858000</v>
      </c>
    </row>
    <row r="22" spans="1:10" ht="12.45" customHeight="1">
      <c r="A22" s="133" t="s">
        <v>195</v>
      </c>
      <c r="B22" s="105">
        <v>2336000</v>
      </c>
      <c r="C22" s="9">
        <v>337000</v>
      </c>
      <c r="D22" s="9">
        <v>10000</v>
      </c>
      <c r="E22" s="9">
        <v>68000</v>
      </c>
      <c r="F22" s="13" t="s">
        <v>191</v>
      </c>
      <c r="G22" s="9">
        <v>253000</v>
      </c>
      <c r="H22" s="9">
        <v>4000</v>
      </c>
      <c r="I22" s="9">
        <v>238000</v>
      </c>
      <c r="J22" s="9">
        <v>1761000</v>
      </c>
    </row>
    <row r="23" spans="1:10" ht="24.75" customHeight="1">
      <c r="A23" s="131" t="s">
        <v>196</v>
      </c>
      <c r="B23" s="106">
        <v>929000</v>
      </c>
      <c r="C23" s="11">
        <v>112000</v>
      </c>
      <c r="D23" s="11">
        <v>4000</v>
      </c>
      <c r="E23" s="11">
        <v>37000</v>
      </c>
      <c r="F23" s="11">
        <v>1000</v>
      </c>
      <c r="G23" s="11">
        <v>66000</v>
      </c>
      <c r="H23" s="11">
        <v>4000</v>
      </c>
      <c r="I23" s="11">
        <v>73000</v>
      </c>
      <c r="J23" s="11">
        <v>744000</v>
      </c>
    </row>
    <row r="24" spans="1:10" ht="24.75" customHeight="1">
      <c r="A24" s="131" t="s">
        <v>197</v>
      </c>
      <c r="B24" s="106">
        <v>600000</v>
      </c>
      <c r="C24" s="11">
        <v>71000</v>
      </c>
      <c r="D24" s="11">
        <v>5000</v>
      </c>
      <c r="E24" s="11">
        <v>29000</v>
      </c>
      <c r="F24" s="11">
        <v>6000</v>
      </c>
      <c r="G24" s="11">
        <v>26000</v>
      </c>
      <c r="H24" s="11">
        <v>4000</v>
      </c>
      <c r="I24" s="11">
        <v>71000</v>
      </c>
      <c r="J24" s="11">
        <v>458000</v>
      </c>
    </row>
    <row r="25" spans="1:10" ht="12.45" customHeight="1">
      <c r="A25" s="130" t="s">
        <v>198</v>
      </c>
      <c r="B25" s="105">
        <v>4011000</v>
      </c>
      <c r="C25" s="9">
        <v>2277000</v>
      </c>
      <c r="D25" s="9">
        <v>31000</v>
      </c>
      <c r="E25" s="9">
        <v>692000</v>
      </c>
      <c r="F25" s="9">
        <v>27000</v>
      </c>
      <c r="G25" s="9">
        <v>5000</v>
      </c>
      <c r="H25" s="9">
        <v>1522000</v>
      </c>
      <c r="I25" s="9">
        <v>641000</v>
      </c>
      <c r="J25" s="9">
        <v>1093000</v>
      </c>
    </row>
    <row r="26" spans="1:10" ht="49.5" customHeight="1">
      <c r="A26" s="131" t="s">
        <v>199</v>
      </c>
      <c r="B26" s="132">
        <v>145000</v>
      </c>
      <c r="C26" s="25">
        <v>84000</v>
      </c>
      <c r="D26" s="26" t="s">
        <v>220</v>
      </c>
      <c r="E26" s="25">
        <v>12000</v>
      </c>
      <c r="F26" s="26" t="s">
        <v>220</v>
      </c>
      <c r="G26" s="26" t="s">
        <v>220</v>
      </c>
      <c r="H26" s="25">
        <v>71000</v>
      </c>
      <c r="I26" s="25">
        <v>18000</v>
      </c>
      <c r="J26" s="25">
        <v>43000</v>
      </c>
    </row>
    <row r="27" spans="1:10" ht="24.75" customHeight="1">
      <c r="A27" s="131" t="s">
        <v>200</v>
      </c>
      <c r="B27" s="106">
        <v>269000</v>
      </c>
      <c r="C27" s="11">
        <v>148000</v>
      </c>
      <c r="D27" s="11">
        <v>7000</v>
      </c>
      <c r="E27" s="11">
        <v>24000</v>
      </c>
      <c r="F27" s="11">
        <v>7000</v>
      </c>
      <c r="G27" s="16" t="s">
        <v>220</v>
      </c>
      <c r="H27" s="11">
        <v>110000</v>
      </c>
      <c r="I27" s="11">
        <v>37000</v>
      </c>
      <c r="J27" s="11">
        <v>84000</v>
      </c>
    </row>
    <row r="28" spans="1:10" ht="36.75" customHeight="1">
      <c r="A28" s="131" t="s">
        <v>201</v>
      </c>
      <c r="B28" s="132">
        <v>543000</v>
      </c>
      <c r="C28" s="25">
        <v>296000</v>
      </c>
      <c r="D28" s="26" t="s">
        <v>222</v>
      </c>
      <c r="E28" s="25">
        <v>22000</v>
      </c>
      <c r="F28" s="25">
        <v>2000</v>
      </c>
      <c r="G28" s="26" t="s">
        <v>191</v>
      </c>
      <c r="H28" s="25">
        <v>270000</v>
      </c>
      <c r="I28" s="25">
        <v>96000</v>
      </c>
      <c r="J28" s="25">
        <v>151000</v>
      </c>
    </row>
    <row r="29" spans="1:10" ht="24">
      <c r="A29" s="131" t="s">
        <v>202</v>
      </c>
      <c r="B29" s="134">
        <v>1409000</v>
      </c>
      <c r="C29" s="27">
        <v>885000</v>
      </c>
      <c r="D29" s="27">
        <v>2000</v>
      </c>
      <c r="E29" s="27">
        <v>504000</v>
      </c>
      <c r="F29" s="27">
        <v>4000</v>
      </c>
      <c r="G29" s="28" t="s">
        <v>191</v>
      </c>
      <c r="H29" s="27">
        <v>372000</v>
      </c>
      <c r="I29" s="27">
        <v>245000</v>
      </c>
      <c r="J29" s="27">
        <v>278000</v>
      </c>
    </row>
    <row r="30" spans="1:10">
      <c r="A30" s="131" t="s">
        <v>203</v>
      </c>
      <c r="B30" s="106">
        <v>230000</v>
      </c>
      <c r="C30" s="11">
        <v>82000</v>
      </c>
      <c r="D30" s="16" t="s">
        <v>220</v>
      </c>
      <c r="E30" s="11">
        <v>28000</v>
      </c>
      <c r="F30" s="16" t="s">
        <v>220</v>
      </c>
      <c r="G30" s="16" t="s">
        <v>220</v>
      </c>
      <c r="H30" s="11">
        <v>53000</v>
      </c>
      <c r="I30" s="11">
        <v>41000</v>
      </c>
      <c r="J30" s="11">
        <v>107000</v>
      </c>
    </row>
    <row r="31" spans="1:10">
      <c r="A31" s="131" t="s">
        <v>204</v>
      </c>
      <c r="B31" s="106">
        <v>848000</v>
      </c>
      <c r="C31" s="11">
        <v>500000</v>
      </c>
      <c r="D31" s="16" t="s">
        <v>191</v>
      </c>
      <c r="E31" s="11">
        <v>62000</v>
      </c>
      <c r="F31" s="11">
        <v>1000</v>
      </c>
      <c r="G31" s="16" t="s">
        <v>220</v>
      </c>
      <c r="H31" s="11">
        <v>434000</v>
      </c>
      <c r="I31" s="11">
        <v>110000</v>
      </c>
      <c r="J31" s="11">
        <v>238000</v>
      </c>
    </row>
    <row r="32" spans="1:10">
      <c r="A32" s="131" t="s">
        <v>205</v>
      </c>
      <c r="B32" s="105">
        <v>567000</v>
      </c>
      <c r="C32" s="9">
        <v>283000</v>
      </c>
      <c r="D32" s="9">
        <v>20000</v>
      </c>
      <c r="E32" s="9">
        <v>39000</v>
      </c>
      <c r="F32" s="9">
        <v>13000</v>
      </c>
      <c r="G32" s="13" t="s">
        <v>220</v>
      </c>
      <c r="H32" s="9">
        <v>211000</v>
      </c>
      <c r="I32" s="9">
        <v>93000</v>
      </c>
      <c r="J32" s="9">
        <v>191000</v>
      </c>
    </row>
    <row r="33" spans="1:10">
      <c r="A33" s="129" t="s">
        <v>206</v>
      </c>
      <c r="B33" s="105">
        <v>7822000</v>
      </c>
      <c r="C33" s="9">
        <v>439000</v>
      </c>
      <c r="D33" s="9">
        <v>99000</v>
      </c>
      <c r="E33" s="9">
        <v>189000</v>
      </c>
      <c r="F33" s="9">
        <v>14000</v>
      </c>
      <c r="G33" s="9">
        <v>52000</v>
      </c>
      <c r="H33" s="9">
        <v>86000</v>
      </c>
      <c r="I33" s="9">
        <v>5519000</v>
      </c>
      <c r="J33" s="9">
        <v>1863000</v>
      </c>
    </row>
    <row r="34" spans="1:10">
      <c r="A34" s="130" t="s">
        <v>207</v>
      </c>
      <c r="B34" s="105">
        <v>6364000</v>
      </c>
      <c r="C34" s="9">
        <v>190000</v>
      </c>
      <c r="D34" s="9">
        <v>92000</v>
      </c>
      <c r="E34" s="9">
        <v>55000</v>
      </c>
      <c r="F34" s="9">
        <v>10000</v>
      </c>
      <c r="G34" s="9">
        <v>27000</v>
      </c>
      <c r="H34" s="9">
        <v>7000</v>
      </c>
      <c r="I34" s="9">
        <v>4983000</v>
      </c>
      <c r="J34" s="9">
        <v>1191000</v>
      </c>
    </row>
    <row r="35" spans="1:10" ht="24">
      <c r="A35" s="130" t="s">
        <v>208</v>
      </c>
      <c r="B35" s="132">
        <v>429000</v>
      </c>
      <c r="C35" s="25">
        <v>30000</v>
      </c>
      <c r="D35" s="25">
        <v>4000</v>
      </c>
      <c r="E35" s="25">
        <v>15000</v>
      </c>
      <c r="F35" s="25">
        <v>2000</v>
      </c>
      <c r="G35" s="26" t="s">
        <v>191</v>
      </c>
      <c r="H35" s="26" t="s">
        <v>191</v>
      </c>
      <c r="I35" s="25">
        <v>223000</v>
      </c>
      <c r="J35" s="25">
        <v>175000</v>
      </c>
    </row>
    <row r="36" spans="1:10" ht="24">
      <c r="A36" s="130" t="s">
        <v>209</v>
      </c>
      <c r="B36" s="106">
        <v>488000</v>
      </c>
      <c r="C36" s="11">
        <v>170000</v>
      </c>
      <c r="D36" s="16" t="s">
        <v>222</v>
      </c>
      <c r="E36" s="11">
        <v>106000</v>
      </c>
      <c r="F36" s="11">
        <v>1000</v>
      </c>
      <c r="G36" s="16" t="s">
        <v>191</v>
      </c>
      <c r="H36" s="11">
        <v>62000</v>
      </c>
      <c r="I36" s="11">
        <v>92000</v>
      </c>
      <c r="J36" s="11">
        <v>226000</v>
      </c>
    </row>
    <row r="37" spans="1:10">
      <c r="A37" s="130" t="s">
        <v>210</v>
      </c>
      <c r="B37" s="106">
        <v>541000</v>
      </c>
      <c r="C37" s="11">
        <v>48000</v>
      </c>
      <c r="D37" s="16" t="s">
        <v>191</v>
      </c>
      <c r="E37" s="11">
        <v>12000</v>
      </c>
      <c r="F37" s="16" t="s">
        <v>191</v>
      </c>
      <c r="G37" s="11">
        <v>16000</v>
      </c>
      <c r="H37" s="11">
        <v>16000</v>
      </c>
      <c r="I37" s="11">
        <v>221000</v>
      </c>
      <c r="J37" s="11">
        <v>271000</v>
      </c>
    </row>
    <row r="38" spans="1:10">
      <c r="A38" s="129" t="s">
        <v>211</v>
      </c>
      <c r="B38" s="105">
        <v>27535000</v>
      </c>
      <c r="C38" s="9">
        <v>1396000</v>
      </c>
      <c r="D38" s="9">
        <v>44000</v>
      </c>
      <c r="E38" s="9">
        <v>995000</v>
      </c>
      <c r="F38" s="9">
        <v>21000</v>
      </c>
      <c r="G38" s="9">
        <v>160000</v>
      </c>
      <c r="H38" s="9">
        <v>177000</v>
      </c>
      <c r="I38" s="9">
        <v>1597000</v>
      </c>
      <c r="J38" s="9">
        <v>24541000</v>
      </c>
    </row>
    <row r="39" spans="1:10" ht="24">
      <c r="A39" s="130" t="s">
        <v>212</v>
      </c>
      <c r="B39" s="132">
        <v>9480000</v>
      </c>
      <c r="C39" s="25">
        <v>647000</v>
      </c>
      <c r="D39" s="25">
        <v>10000</v>
      </c>
      <c r="E39" s="25">
        <v>478000</v>
      </c>
      <c r="F39" s="25">
        <v>4000</v>
      </c>
      <c r="G39" s="25">
        <v>24000</v>
      </c>
      <c r="H39" s="25">
        <v>131000</v>
      </c>
      <c r="I39" s="25">
        <v>527000</v>
      </c>
      <c r="J39" s="25">
        <v>8305000</v>
      </c>
    </row>
    <row r="40" spans="1:10" ht="24">
      <c r="A40" s="130" t="s">
        <v>213</v>
      </c>
      <c r="B40" s="132">
        <v>5019000</v>
      </c>
      <c r="C40" s="25">
        <v>94000</v>
      </c>
      <c r="D40" s="25">
        <v>2000</v>
      </c>
      <c r="E40" s="25">
        <v>62000</v>
      </c>
      <c r="F40" s="26" t="s">
        <v>191</v>
      </c>
      <c r="G40" s="25">
        <v>22000</v>
      </c>
      <c r="H40" s="25">
        <v>6000</v>
      </c>
      <c r="I40" s="25">
        <v>441000</v>
      </c>
      <c r="J40" s="25">
        <v>4484000</v>
      </c>
    </row>
    <row r="41" spans="1:10" ht="24">
      <c r="A41" s="130" t="s">
        <v>214</v>
      </c>
      <c r="B41" s="106">
        <v>1466000</v>
      </c>
      <c r="C41" s="11">
        <v>77000</v>
      </c>
      <c r="D41" s="16" t="s">
        <v>220</v>
      </c>
      <c r="E41" s="11">
        <v>38000</v>
      </c>
      <c r="F41" s="16" t="s">
        <v>220</v>
      </c>
      <c r="G41" s="11">
        <v>35000</v>
      </c>
      <c r="H41" s="11">
        <v>4000</v>
      </c>
      <c r="I41" s="11">
        <v>65000</v>
      </c>
      <c r="J41" s="11">
        <v>1324000</v>
      </c>
    </row>
    <row r="42" spans="1:10">
      <c r="A42" s="130" t="s">
        <v>215</v>
      </c>
      <c r="B42" s="106">
        <v>1293000</v>
      </c>
      <c r="C42" s="11">
        <v>61000</v>
      </c>
      <c r="D42" s="16" t="s">
        <v>220</v>
      </c>
      <c r="E42" s="11">
        <v>52000</v>
      </c>
      <c r="F42" s="16" t="s">
        <v>220</v>
      </c>
      <c r="G42" s="16" t="s">
        <v>191</v>
      </c>
      <c r="H42" s="11">
        <v>7000</v>
      </c>
      <c r="I42" s="11">
        <v>62000</v>
      </c>
      <c r="J42" s="11">
        <v>1169000</v>
      </c>
    </row>
    <row r="43" spans="1:10">
      <c r="A43" s="130" t="s">
        <v>216</v>
      </c>
      <c r="B43" s="106">
        <v>4526000</v>
      </c>
      <c r="C43" s="11">
        <v>273000</v>
      </c>
      <c r="D43" s="11">
        <v>2000</v>
      </c>
      <c r="E43" s="11">
        <v>234000</v>
      </c>
      <c r="F43" s="16" t="s">
        <v>191</v>
      </c>
      <c r="G43" s="11">
        <v>20000</v>
      </c>
      <c r="H43" s="11">
        <v>13000</v>
      </c>
      <c r="I43" s="11">
        <v>299000</v>
      </c>
      <c r="J43" s="11">
        <v>3954000</v>
      </c>
    </row>
    <row r="44" spans="1:10">
      <c r="A44" s="130" t="s">
        <v>217</v>
      </c>
      <c r="B44" s="106">
        <v>5752000</v>
      </c>
      <c r="C44" s="11">
        <v>244000</v>
      </c>
      <c r="D44" s="11">
        <v>30000</v>
      </c>
      <c r="E44" s="11">
        <v>131000</v>
      </c>
      <c r="F44" s="11">
        <v>11000</v>
      </c>
      <c r="G44" s="11">
        <v>57000</v>
      </c>
      <c r="H44" s="11">
        <v>16000</v>
      </c>
      <c r="I44" s="11">
        <v>203000</v>
      </c>
      <c r="J44" s="11">
        <v>5305000</v>
      </c>
    </row>
    <row r="45" spans="1:10">
      <c r="A45" s="125" t="s">
        <v>218</v>
      </c>
      <c r="B45" s="124">
        <v>31688000</v>
      </c>
      <c r="C45" s="119">
        <v>4438000</v>
      </c>
      <c r="D45" s="119">
        <v>295000</v>
      </c>
      <c r="E45" s="119">
        <v>2574000</v>
      </c>
      <c r="F45" s="119">
        <v>177000</v>
      </c>
      <c r="G45" s="119">
        <v>170000</v>
      </c>
      <c r="H45" s="119">
        <v>1222000</v>
      </c>
      <c r="I45" s="119">
        <v>5031000</v>
      </c>
      <c r="J45" s="119">
        <v>22219000</v>
      </c>
    </row>
    <row r="46" spans="1:10">
      <c r="A46" s="120" t="s">
        <v>178</v>
      </c>
      <c r="B46" s="105">
        <v>11377000</v>
      </c>
      <c r="C46" s="9">
        <v>3499000</v>
      </c>
      <c r="D46" s="9">
        <v>257000</v>
      </c>
      <c r="E46" s="9">
        <v>1866000</v>
      </c>
      <c r="F46" s="9">
        <v>162000</v>
      </c>
      <c r="G46" s="9">
        <v>116000</v>
      </c>
      <c r="H46" s="9">
        <v>1097000</v>
      </c>
      <c r="I46" s="9">
        <v>1692000</v>
      </c>
      <c r="J46" s="9">
        <v>6187000</v>
      </c>
    </row>
    <row r="47" spans="1:10" ht="24">
      <c r="A47" s="121" t="s">
        <v>179</v>
      </c>
      <c r="B47" s="132">
        <v>1773000</v>
      </c>
      <c r="C47" s="25">
        <v>371000</v>
      </c>
      <c r="D47" s="25">
        <v>212000</v>
      </c>
      <c r="E47" s="25">
        <v>75000</v>
      </c>
      <c r="F47" s="25">
        <v>51000</v>
      </c>
      <c r="G47" s="25">
        <v>10000</v>
      </c>
      <c r="H47" s="25">
        <v>22000</v>
      </c>
      <c r="I47" s="25">
        <v>489000</v>
      </c>
      <c r="J47" s="25">
        <v>913000</v>
      </c>
    </row>
    <row r="48" spans="1:10" ht="24">
      <c r="A48" s="122" t="s">
        <v>180</v>
      </c>
      <c r="B48" s="106">
        <v>239000</v>
      </c>
      <c r="C48" s="11">
        <v>39000</v>
      </c>
      <c r="D48" s="11">
        <v>29000</v>
      </c>
      <c r="E48" s="16" t="s">
        <v>191</v>
      </c>
      <c r="F48" s="16" t="s">
        <v>191</v>
      </c>
      <c r="G48" s="16" t="s">
        <v>220</v>
      </c>
      <c r="H48" s="16" t="s">
        <v>191</v>
      </c>
      <c r="I48" s="11">
        <v>33000</v>
      </c>
      <c r="J48" s="11">
        <v>167000</v>
      </c>
    </row>
    <row r="49" spans="1:10">
      <c r="A49" s="122" t="s">
        <v>181</v>
      </c>
      <c r="B49" s="106">
        <v>1301000</v>
      </c>
      <c r="C49" s="11">
        <v>281000</v>
      </c>
      <c r="D49" s="11">
        <v>163000</v>
      </c>
      <c r="E49" s="11">
        <v>64000</v>
      </c>
      <c r="F49" s="11">
        <v>34000</v>
      </c>
      <c r="G49" s="11">
        <v>8000</v>
      </c>
      <c r="H49" s="11">
        <v>12000</v>
      </c>
      <c r="I49" s="11">
        <v>433000</v>
      </c>
      <c r="J49" s="11">
        <v>587000</v>
      </c>
    </row>
    <row r="50" spans="1:10" ht="24">
      <c r="A50" s="122" t="s">
        <v>182</v>
      </c>
      <c r="B50" s="106">
        <v>232000</v>
      </c>
      <c r="C50" s="11">
        <v>51000</v>
      </c>
      <c r="D50" s="11">
        <v>20000</v>
      </c>
      <c r="E50" s="11">
        <v>7000</v>
      </c>
      <c r="F50" s="11">
        <v>15000</v>
      </c>
      <c r="G50" s="16" t="s">
        <v>191</v>
      </c>
      <c r="H50" s="11">
        <v>7000</v>
      </c>
      <c r="I50" s="11">
        <v>23000</v>
      </c>
      <c r="J50" s="11">
        <v>159000</v>
      </c>
    </row>
    <row r="51" spans="1:10" ht="24">
      <c r="A51" s="121" t="s">
        <v>183</v>
      </c>
      <c r="B51" s="132">
        <v>2133000</v>
      </c>
      <c r="C51" s="25">
        <v>1137000</v>
      </c>
      <c r="D51" s="26" t="s">
        <v>220</v>
      </c>
      <c r="E51" s="25">
        <v>1096000</v>
      </c>
      <c r="F51" s="25">
        <v>1000</v>
      </c>
      <c r="G51" s="26" t="s">
        <v>191</v>
      </c>
      <c r="H51" s="25">
        <v>35000</v>
      </c>
      <c r="I51" s="25">
        <v>321000</v>
      </c>
      <c r="J51" s="25">
        <v>675000</v>
      </c>
    </row>
    <row r="52" spans="1:10" ht="24">
      <c r="A52" s="122" t="s">
        <v>184</v>
      </c>
      <c r="B52" s="132">
        <v>1694000</v>
      </c>
      <c r="C52" s="25">
        <v>1024000</v>
      </c>
      <c r="D52" s="26" t="s">
        <v>220</v>
      </c>
      <c r="E52" s="25">
        <v>996000</v>
      </c>
      <c r="F52" s="26" t="s">
        <v>220</v>
      </c>
      <c r="G52" s="26" t="s">
        <v>191</v>
      </c>
      <c r="H52" s="25">
        <v>26000</v>
      </c>
      <c r="I52" s="25">
        <v>214000</v>
      </c>
      <c r="J52" s="25">
        <v>456000</v>
      </c>
    </row>
    <row r="53" spans="1:10" ht="24">
      <c r="A53" s="122" t="s">
        <v>185</v>
      </c>
      <c r="B53" s="106">
        <v>440000</v>
      </c>
      <c r="C53" s="11">
        <v>113000</v>
      </c>
      <c r="D53" s="16" t="s">
        <v>220</v>
      </c>
      <c r="E53" s="11">
        <v>100000</v>
      </c>
      <c r="F53" s="16" t="s">
        <v>222</v>
      </c>
      <c r="G53" s="16" t="s">
        <v>191</v>
      </c>
      <c r="H53" s="11">
        <v>8000</v>
      </c>
      <c r="I53" s="11">
        <v>107000</v>
      </c>
      <c r="J53" s="11">
        <v>219000</v>
      </c>
    </row>
    <row r="54" spans="1:10" ht="24">
      <c r="A54" s="121" t="s">
        <v>186</v>
      </c>
      <c r="B54" s="142">
        <v>517000</v>
      </c>
      <c r="C54" s="29">
        <v>199000</v>
      </c>
      <c r="D54" s="29">
        <v>26000</v>
      </c>
      <c r="E54" s="29">
        <v>45000</v>
      </c>
      <c r="F54" s="29">
        <v>96000</v>
      </c>
      <c r="G54" s="29">
        <v>2000</v>
      </c>
      <c r="H54" s="29">
        <v>30000</v>
      </c>
      <c r="I54" s="29">
        <v>99000</v>
      </c>
      <c r="J54" s="29">
        <v>218000</v>
      </c>
    </row>
    <row r="55" spans="1:10" ht="24">
      <c r="A55" s="122" t="s">
        <v>187</v>
      </c>
      <c r="B55" s="132">
        <v>221000</v>
      </c>
      <c r="C55" s="25">
        <v>93000</v>
      </c>
      <c r="D55" s="25">
        <v>20000</v>
      </c>
      <c r="E55" s="25">
        <v>18000</v>
      </c>
      <c r="F55" s="25">
        <v>41000</v>
      </c>
      <c r="G55" s="25">
        <v>2000</v>
      </c>
      <c r="H55" s="25">
        <v>12000</v>
      </c>
      <c r="I55" s="25">
        <v>55000</v>
      </c>
      <c r="J55" s="25">
        <v>73000</v>
      </c>
    </row>
    <row r="56" spans="1:10" ht="24">
      <c r="A56" s="122" t="s">
        <v>188</v>
      </c>
      <c r="B56" s="132">
        <v>172000</v>
      </c>
      <c r="C56" s="25">
        <v>54000</v>
      </c>
      <c r="D56" s="26" t="s">
        <v>191</v>
      </c>
      <c r="E56" s="25">
        <v>8000</v>
      </c>
      <c r="F56" s="25">
        <v>36000</v>
      </c>
      <c r="G56" s="26" t="s">
        <v>220</v>
      </c>
      <c r="H56" s="25">
        <v>7000</v>
      </c>
      <c r="I56" s="25">
        <v>24000</v>
      </c>
      <c r="J56" s="25">
        <v>94000</v>
      </c>
    </row>
    <row r="57" spans="1:10">
      <c r="A57" s="122" t="s">
        <v>189</v>
      </c>
      <c r="B57" s="106">
        <v>106000</v>
      </c>
      <c r="C57" s="11">
        <v>49000</v>
      </c>
      <c r="D57" s="11">
        <v>2000</v>
      </c>
      <c r="E57" s="11">
        <v>19000</v>
      </c>
      <c r="F57" s="11">
        <v>18000</v>
      </c>
      <c r="G57" s="16" t="s">
        <v>220</v>
      </c>
      <c r="H57" s="11">
        <v>11000</v>
      </c>
      <c r="I57" s="11">
        <v>16000</v>
      </c>
      <c r="J57" s="11">
        <v>40000</v>
      </c>
    </row>
    <row r="58" spans="1:10">
      <c r="A58" s="122" t="s">
        <v>190</v>
      </c>
      <c r="B58" s="106">
        <v>17000</v>
      </c>
      <c r="C58" s="16" t="s">
        <v>191</v>
      </c>
      <c r="D58" s="16" t="s">
        <v>220</v>
      </c>
      <c r="E58" s="16" t="s">
        <v>220</v>
      </c>
      <c r="F58" s="16" t="s">
        <v>220</v>
      </c>
      <c r="G58" s="16" t="s">
        <v>220</v>
      </c>
      <c r="H58" s="16" t="s">
        <v>220</v>
      </c>
      <c r="I58" s="11">
        <v>4000</v>
      </c>
      <c r="J58" s="11">
        <v>11000</v>
      </c>
    </row>
    <row r="59" spans="1:10">
      <c r="A59" s="121" t="s">
        <v>192</v>
      </c>
      <c r="B59" s="106">
        <v>4229000</v>
      </c>
      <c r="C59" s="11">
        <v>321000</v>
      </c>
      <c r="D59" s="11">
        <v>11000</v>
      </c>
      <c r="E59" s="11">
        <v>188000</v>
      </c>
      <c r="F59" s="11">
        <v>7000</v>
      </c>
      <c r="G59" s="11">
        <v>95000</v>
      </c>
      <c r="H59" s="11">
        <v>21000</v>
      </c>
      <c r="I59" s="11">
        <v>353000</v>
      </c>
      <c r="J59" s="11">
        <v>3554000</v>
      </c>
    </row>
    <row r="60" spans="1:10">
      <c r="A60" s="122" t="s">
        <v>193</v>
      </c>
      <c r="B60" s="105">
        <v>714000</v>
      </c>
      <c r="C60" s="9">
        <v>67000</v>
      </c>
      <c r="D60" s="13" t="s">
        <v>222</v>
      </c>
      <c r="E60" s="9">
        <v>49000</v>
      </c>
      <c r="F60" s="13" t="s">
        <v>220</v>
      </c>
      <c r="G60" s="9">
        <v>11000</v>
      </c>
      <c r="H60" s="9">
        <v>6000</v>
      </c>
      <c r="I60" s="9">
        <v>34000</v>
      </c>
      <c r="J60" s="9">
        <v>613000</v>
      </c>
    </row>
    <row r="61" spans="1:10" ht="24">
      <c r="A61" s="122" t="s">
        <v>194</v>
      </c>
      <c r="B61" s="106">
        <v>777000</v>
      </c>
      <c r="C61" s="11">
        <v>52000</v>
      </c>
      <c r="D61" s="16" t="s">
        <v>220</v>
      </c>
      <c r="E61" s="11">
        <v>31000</v>
      </c>
      <c r="F61" s="16" t="s">
        <v>220</v>
      </c>
      <c r="G61" s="11">
        <v>15000</v>
      </c>
      <c r="H61" s="11">
        <v>6000</v>
      </c>
      <c r="I61" s="11">
        <v>53000</v>
      </c>
      <c r="J61" s="11">
        <v>671000</v>
      </c>
    </row>
    <row r="62" spans="1:10">
      <c r="A62" s="122" t="s">
        <v>195</v>
      </c>
      <c r="B62" s="105">
        <v>1521000</v>
      </c>
      <c r="C62" s="9">
        <v>108000</v>
      </c>
      <c r="D62" s="9">
        <v>6000</v>
      </c>
      <c r="E62" s="9">
        <v>57000</v>
      </c>
      <c r="F62" s="13" t="s">
        <v>220</v>
      </c>
      <c r="G62" s="9">
        <v>41000</v>
      </c>
      <c r="H62" s="9">
        <v>3000</v>
      </c>
      <c r="I62" s="9">
        <v>146000</v>
      </c>
      <c r="J62" s="9">
        <v>1267000</v>
      </c>
    </row>
    <row r="63" spans="1:10" ht="24">
      <c r="A63" s="122" t="s">
        <v>196</v>
      </c>
      <c r="B63" s="106">
        <v>800000</v>
      </c>
      <c r="C63" s="11">
        <v>54000</v>
      </c>
      <c r="D63" s="11">
        <v>2000</v>
      </c>
      <c r="E63" s="11">
        <v>33000</v>
      </c>
      <c r="F63" s="16" t="s">
        <v>220</v>
      </c>
      <c r="G63" s="11">
        <v>15000</v>
      </c>
      <c r="H63" s="11">
        <v>4000</v>
      </c>
      <c r="I63" s="11">
        <v>66000</v>
      </c>
      <c r="J63" s="11">
        <v>680000</v>
      </c>
    </row>
    <row r="64" spans="1:10">
      <c r="A64" s="122" t="s">
        <v>197</v>
      </c>
      <c r="B64" s="106">
        <v>417000</v>
      </c>
      <c r="C64" s="11">
        <v>39000</v>
      </c>
      <c r="D64" s="16" t="s">
        <v>191</v>
      </c>
      <c r="E64" s="11">
        <v>18000</v>
      </c>
      <c r="F64" s="11">
        <v>4000</v>
      </c>
      <c r="G64" s="11">
        <v>13000</v>
      </c>
      <c r="H64" s="11">
        <v>3000</v>
      </c>
      <c r="I64" s="11">
        <v>55000</v>
      </c>
      <c r="J64" s="11">
        <v>323000</v>
      </c>
    </row>
    <row r="65" spans="1:10">
      <c r="A65" s="121" t="s">
        <v>198</v>
      </c>
      <c r="B65" s="105">
        <v>2725000</v>
      </c>
      <c r="C65" s="9">
        <v>1470000</v>
      </c>
      <c r="D65" s="9">
        <v>9000</v>
      </c>
      <c r="E65" s="9">
        <v>462000</v>
      </c>
      <c r="F65" s="9">
        <v>8000</v>
      </c>
      <c r="G65" s="13" t="s">
        <v>191</v>
      </c>
      <c r="H65" s="9">
        <v>989000</v>
      </c>
      <c r="I65" s="9">
        <v>428000</v>
      </c>
      <c r="J65" s="9">
        <v>827000</v>
      </c>
    </row>
    <row r="66" spans="1:10" ht="36">
      <c r="A66" s="122" t="s">
        <v>199</v>
      </c>
      <c r="B66" s="132">
        <v>86000</v>
      </c>
      <c r="C66" s="25">
        <v>47000</v>
      </c>
      <c r="D66" s="26" t="s">
        <v>220</v>
      </c>
      <c r="E66" s="25">
        <v>10000</v>
      </c>
      <c r="F66" s="26" t="s">
        <v>220</v>
      </c>
      <c r="G66" s="26" t="s">
        <v>220</v>
      </c>
      <c r="H66" s="25">
        <v>38000</v>
      </c>
      <c r="I66" s="25">
        <v>9000</v>
      </c>
      <c r="J66" s="25">
        <v>30000</v>
      </c>
    </row>
    <row r="67" spans="1:10">
      <c r="A67" s="122" t="s">
        <v>200</v>
      </c>
      <c r="B67" s="106">
        <v>202000</v>
      </c>
      <c r="C67" s="11">
        <v>112000</v>
      </c>
      <c r="D67" s="11">
        <v>3000</v>
      </c>
      <c r="E67" s="11">
        <v>20000</v>
      </c>
      <c r="F67" s="11">
        <v>2000</v>
      </c>
      <c r="G67" s="16" t="s">
        <v>220</v>
      </c>
      <c r="H67" s="11">
        <v>87000</v>
      </c>
      <c r="I67" s="11">
        <v>25000</v>
      </c>
      <c r="J67" s="11">
        <v>65000</v>
      </c>
    </row>
    <row r="68" spans="1:10" ht="24">
      <c r="A68" s="122" t="s">
        <v>201</v>
      </c>
      <c r="B68" s="132">
        <v>395000</v>
      </c>
      <c r="C68" s="25">
        <v>194000</v>
      </c>
      <c r="D68" s="26" t="s">
        <v>220</v>
      </c>
      <c r="E68" s="25">
        <v>17000</v>
      </c>
      <c r="F68" s="26" t="s">
        <v>222</v>
      </c>
      <c r="G68" s="26" t="s">
        <v>220</v>
      </c>
      <c r="H68" s="25">
        <v>176000</v>
      </c>
      <c r="I68" s="25">
        <v>73000</v>
      </c>
      <c r="J68" s="25">
        <v>128000</v>
      </c>
    </row>
    <row r="69" spans="1:10" ht="24">
      <c r="A69" s="122" t="s">
        <v>202</v>
      </c>
      <c r="B69" s="132">
        <v>924000</v>
      </c>
      <c r="C69" s="25">
        <v>569000</v>
      </c>
      <c r="D69" s="26" t="s">
        <v>220</v>
      </c>
      <c r="E69" s="25">
        <v>338000</v>
      </c>
      <c r="F69" s="26" t="s">
        <v>191</v>
      </c>
      <c r="G69" s="26" t="s">
        <v>220</v>
      </c>
      <c r="H69" s="25">
        <v>227000</v>
      </c>
      <c r="I69" s="25">
        <v>156000</v>
      </c>
      <c r="J69" s="25">
        <v>198000</v>
      </c>
    </row>
    <row r="70" spans="1:10">
      <c r="A70" s="122" t="s">
        <v>203</v>
      </c>
      <c r="B70" s="106">
        <v>154000</v>
      </c>
      <c r="C70" s="11">
        <v>46000</v>
      </c>
      <c r="D70" s="16" t="s">
        <v>220</v>
      </c>
      <c r="E70" s="11">
        <v>13000</v>
      </c>
      <c r="F70" s="16" t="s">
        <v>220</v>
      </c>
      <c r="G70" s="16" t="s">
        <v>220</v>
      </c>
      <c r="H70" s="11">
        <v>32000</v>
      </c>
      <c r="I70" s="11">
        <v>26000</v>
      </c>
      <c r="J70" s="11">
        <v>82000</v>
      </c>
    </row>
    <row r="71" spans="1:10">
      <c r="A71" s="122" t="s">
        <v>204</v>
      </c>
      <c r="B71" s="106">
        <v>660000</v>
      </c>
      <c r="C71" s="11">
        <v>372000</v>
      </c>
      <c r="D71" s="16" t="s">
        <v>220</v>
      </c>
      <c r="E71" s="11">
        <v>44000</v>
      </c>
      <c r="F71" s="16" t="s">
        <v>220</v>
      </c>
      <c r="G71" s="16" t="s">
        <v>220</v>
      </c>
      <c r="H71" s="11">
        <v>327000</v>
      </c>
      <c r="I71" s="11">
        <v>85000</v>
      </c>
      <c r="J71" s="11">
        <v>203000</v>
      </c>
    </row>
    <row r="72" spans="1:10">
      <c r="A72" s="122" t="s">
        <v>205</v>
      </c>
      <c r="B72" s="106">
        <v>304000</v>
      </c>
      <c r="C72" s="11">
        <v>130000</v>
      </c>
      <c r="D72" s="11">
        <v>4000</v>
      </c>
      <c r="E72" s="11">
        <v>20000</v>
      </c>
      <c r="F72" s="11">
        <v>3000</v>
      </c>
      <c r="G72" s="16" t="s">
        <v>220</v>
      </c>
      <c r="H72" s="11">
        <v>103000</v>
      </c>
      <c r="I72" s="11">
        <v>52000</v>
      </c>
      <c r="J72" s="11">
        <v>121000</v>
      </c>
    </row>
    <row r="73" spans="1:10">
      <c r="A73" s="120" t="s">
        <v>206</v>
      </c>
      <c r="B73" s="105">
        <v>3821000</v>
      </c>
      <c r="C73" s="9">
        <v>203000</v>
      </c>
      <c r="D73" s="9">
        <v>20000</v>
      </c>
      <c r="E73" s="9">
        <v>100000</v>
      </c>
      <c r="F73" s="9">
        <v>7000</v>
      </c>
      <c r="G73" s="13" t="s">
        <v>191</v>
      </c>
      <c r="H73" s="9">
        <v>62000</v>
      </c>
      <c r="I73" s="9">
        <v>2494000</v>
      </c>
      <c r="J73" s="9">
        <v>1123000</v>
      </c>
    </row>
    <row r="74" spans="1:10">
      <c r="A74" s="121" t="s">
        <v>207</v>
      </c>
      <c r="B74" s="105">
        <v>2912000</v>
      </c>
      <c r="C74" s="9">
        <v>57000</v>
      </c>
      <c r="D74" s="9">
        <v>20000</v>
      </c>
      <c r="E74" s="9">
        <v>22000</v>
      </c>
      <c r="F74" s="9">
        <v>6000</v>
      </c>
      <c r="G74" s="9">
        <v>5000</v>
      </c>
      <c r="H74" s="13" t="s">
        <v>191</v>
      </c>
      <c r="I74" s="9">
        <v>2187000</v>
      </c>
      <c r="J74" s="9">
        <v>669000</v>
      </c>
    </row>
    <row r="75" spans="1:10" ht="24">
      <c r="A75" s="121" t="s">
        <v>208</v>
      </c>
      <c r="B75" s="132">
        <v>171000</v>
      </c>
      <c r="C75" s="26" t="s">
        <v>191</v>
      </c>
      <c r="D75" s="26" t="s">
        <v>220</v>
      </c>
      <c r="E75" s="26" t="s">
        <v>191</v>
      </c>
      <c r="F75" s="26" t="s">
        <v>220</v>
      </c>
      <c r="G75" s="26" t="s">
        <v>220</v>
      </c>
      <c r="H75" s="26" t="s">
        <v>220</v>
      </c>
      <c r="I75" s="25">
        <v>90000</v>
      </c>
      <c r="J75" s="25">
        <v>70000</v>
      </c>
    </row>
    <row r="76" spans="1:10" ht="24">
      <c r="A76" s="121" t="s">
        <v>209</v>
      </c>
      <c r="B76" s="106">
        <v>393000</v>
      </c>
      <c r="C76" s="11">
        <v>117000</v>
      </c>
      <c r="D76" s="16" t="s">
        <v>220</v>
      </c>
      <c r="E76" s="11">
        <v>67000</v>
      </c>
      <c r="F76" s="11">
        <v>1000</v>
      </c>
      <c r="G76" s="16" t="s">
        <v>220</v>
      </c>
      <c r="H76" s="11">
        <v>50000</v>
      </c>
      <c r="I76" s="11">
        <v>77000</v>
      </c>
      <c r="J76" s="11">
        <v>198000</v>
      </c>
    </row>
    <row r="77" spans="1:10">
      <c r="A77" s="121" t="s">
        <v>210</v>
      </c>
      <c r="B77" s="106">
        <v>344000</v>
      </c>
      <c r="C77" s="11">
        <v>18000</v>
      </c>
      <c r="D77" s="16" t="s">
        <v>220</v>
      </c>
      <c r="E77" s="16" t="s">
        <v>191</v>
      </c>
      <c r="F77" s="16" t="s">
        <v>220</v>
      </c>
      <c r="G77" s="16" t="s">
        <v>191</v>
      </c>
      <c r="H77" s="11">
        <v>7000</v>
      </c>
      <c r="I77" s="11">
        <v>141000</v>
      </c>
      <c r="J77" s="11">
        <v>186000</v>
      </c>
    </row>
    <row r="78" spans="1:10">
      <c r="A78" s="120" t="s">
        <v>211</v>
      </c>
      <c r="B78" s="105">
        <v>16491000</v>
      </c>
      <c r="C78" s="9">
        <v>736000</v>
      </c>
      <c r="D78" s="9">
        <v>17000</v>
      </c>
      <c r="E78" s="9">
        <v>608000</v>
      </c>
      <c r="F78" s="9">
        <v>8000</v>
      </c>
      <c r="G78" s="9">
        <v>40000</v>
      </c>
      <c r="H78" s="9">
        <v>64000</v>
      </c>
      <c r="I78" s="9">
        <v>845000</v>
      </c>
      <c r="J78" s="9">
        <v>14909000</v>
      </c>
    </row>
    <row r="79" spans="1:10" ht="24">
      <c r="A79" s="121" t="s">
        <v>212</v>
      </c>
      <c r="B79" s="134">
        <v>6113000</v>
      </c>
      <c r="C79" s="27">
        <v>292000</v>
      </c>
      <c r="D79" s="27">
        <v>6000</v>
      </c>
      <c r="E79" s="27">
        <v>245000</v>
      </c>
      <c r="F79" s="27">
        <v>1000</v>
      </c>
      <c r="G79" s="28" t="s">
        <v>191</v>
      </c>
      <c r="H79" s="27">
        <v>35000</v>
      </c>
      <c r="I79" s="27">
        <v>263000</v>
      </c>
      <c r="J79" s="27">
        <v>5558000</v>
      </c>
    </row>
    <row r="80" spans="1:10" ht="36">
      <c r="A80" s="121" t="s">
        <v>213</v>
      </c>
      <c r="B80" s="132">
        <v>1960000</v>
      </c>
      <c r="C80" s="25">
        <v>32000</v>
      </c>
      <c r="D80" s="26" t="s">
        <v>220</v>
      </c>
      <c r="E80" s="25">
        <v>25000</v>
      </c>
      <c r="F80" s="26" t="s">
        <v>220</v>
      </c>
      <c r="G80" s="26" t="s">
        <v>191</v>
      </c>
      <c r="H80" s="25">
        <v>2000</v>
      </c>
      <c r="I80" s="25">
        <v>140000</v>
      </c>
      <c r="J80" s="25">
        <v>1788000</v>
      </c>
    </row>
    <row r="81" spans="1:10" ht="24">
      <c r="A81" s="121" t="s">
        <v>214</v>
      </c>
      <c r="B81" s="106">
        <v>542000</v>
      </c>
      <c r="C81" s="11">
        <v>26000</v>
      </c>
      <c r="D81" s="16" t="s">
        <v>220</v>
      </c>
      <c r="E81" s="11">
        <v>16000</v>
      </c>
      <c r="F81" s="16" t="s">
        <v>220</v>
      </c>
      <c r="G81" s="11">
        <v>7000</v>
      </c>
      <c r="H81" s="16" t="s">
        <v>191</v>
      </c>
      <c r="I81" s="11">
        <v>18000</v>
      </c>
      <c r="J81" s="11">
        <v>498000</v>
      </c>
    </row>
    <row r="82" spans="1:10">
      <c r="A82" s="121" t="s">
        <v>215</v>
      </c>
      <c r="B82" s="106">
        <v>1078000</v>
      </c>
      <c r="C82" s="11">
        <v>44000</v>
      </c>
      <c r="D82" s="16" t="s">
        <v>220</v>
      </c>
      <c r="E82" s="11">
        <v>37000</v>
      </c>
      <c r="F82" s="16" t="s">
        <v>220</v>
      </c>
      <c r="G82" s="16" t="s">
        <v>191</v>
      </c>
      <c r="H82" s="16" t="s">
        <v>191</v>
      </c>
      <c r="I82" s="11">
        <v>51000</v>
      </c>
      <c r="J82" s="11">
        <v>982000</v>
      </c>
    </row>
    <row r="83" spans="1:10">
      <c r="A83" s="121" t="s">
        <v>216</v>
      </c>
      <c r="B83" s="106">
        <v>3626000</v>
      </c>
      <c r="C83" s="11">
        <v>231000</v>
      </c>
      <c r="D83" s="16" t="s">
        <v>191</v>
      </c>
      <c r="E83" s="11">
        <v>205000</v>
      </c>
      <c r="F83" s="16" t="s">
        <v>191</v>
      </c>
      <c r="G83" s="16" t="s">
        <v>191</v>
      </c>
      <c r="H83" s="11">
        <v>9000</v>
      </c>
      <c r="I83" s="11">
        <v>251000</v>
      </c>
      <c r="J83" s="11">
        <v>3145000</v>
      </c>
    </row>
    <row r="84" spans="1:10">
      <c r="A84" s="121" t="s">
        <v>217</v>
      </c>
      <c r="B84" s="106">
        <v>3172000</v>
      </c>
      <c r="C84" s="11">
        <v>112000</v>
      </c>
      <c r="D84" s="11">
        <v>9000</v>
      </c>
      <c r="E84" s="11">
        <v>80000</v>
      </c>
      <c r="F84" s="11">
        <v>4000</v>
      </c>
      <c r="G84" s="16" t="s">
        <v>191</v>
      </c>
      <c r="H84" s="11">
        <v>9000</v>
      </c>
      <c r="I84" s="11">
        <v>122000</v>
      </c>
      <c r="J84" s="11">
        <v>2938000</v>
      </c>
    </row>
    <row r="85" spans="1:10">
      <c r="A85" s="114" t="s">
        <v>49</v>
      </c>
      <c r="B85" s="144">
        <v>14688000</v>
      </c>
      <c r="C85" s="143">
        <v>2411000</v>
      </c>
      <c r="D85" s="143">
        <v>188000</v>
      </c>
      <c r="E85" s="143">
        <v>1251000</v>
      </c>
      <c r="F85" s="143">
        <v>105000</v>
      </c>
      <c r="G85" s="143">
        <v>283000</v>
      </c>
      <c r="H85" s="143">
        <v>584000</v>
      </c>
      <c r="I85" s="143">
        <v>2578000</v>
      </c>
      <c r="J85" s="143">
        <v>9699000</v>
      </c>
    </row>
    <row r="86" spans="1:10">
      <c r="A86" s="115" t="s">
        <v>178</v>
      </c>
      <c r="B86" s="105">
        <v>3680000</v>
      </c>
      <c r="C86" s="9">
        <v>1671000</v>
      </c>
      <c r="D86" s="9">
        <v>137000</v>
      </c>
      <c r="E86" s="9">
        <v>815000</v>
      </c>
      <c r="F86" s="9">
        <v>89000</v>
      </c>
      <c r="G86" s="9">
        <v>175000</v>
      </c>
      <c r="H86" s="9">
        <v>455000</v>
      </c>
      <c r="I86" s="9">
        <v>552000</v>
      </c>
      <c r="J86" s="9">
        <v>1457000</v>
      </c>
    </row>
    <row r="87" spans="1:10" ht="24">
      <c r="A87" s="116" t="s">
        <v>179</v>
      </c>
      <c r="B87" s="132">
        <v>417000</v>
      </c>
      <c r="C87" s="25">
        <v>157000</v>
      </c>
      <c r="D87" s="25">
        <v>112000</v>
      </c>
      <c r="E87" s="25">
        <v>14000</v>
      </c>
      <c r="F87" s="25">
        <v>20000</v>
      </c>
      <c r="G87" s="25">
        <v>4000</v>
      </c>
      <c r="H87" s="25">
        <v>7000</v>
      </c>
      <c r="I87" s="25">
        <v>104000</v>
      </c>
      <c r="J87" s="25">
        <v>157000</v>
      </c>
    </row>
    <row r="88" spans="1:10" ht="24">
      <c r="A88" s="117" t="s">
        <v>180</v>
      </c>
      <c r="B88" s="106">
        <v>46000</v>
      </c>
      <c r="C88" s="11">
        <v>20000</v>
      </c>
      <c r="D88" s="11">
        <v>17000</v>
      </c>
      <c r="E88" s="16" t="s">
        <v>220</v>
      </c>
      <c r="F88" s="16" t="s">
        <v>191</v>
      </c>
      <c r="G88" s="16" t="s">
        <v>220</v>
      </c>
      <c r="H88" s="16" t="s">
        <v>191</v>
      </c>
      <c r="I88" s="11">
        <v>6000</v>
      </c>
      <c r="J88" s="11">
        <v>20000</v>
      </c>
    </row>
    <row r="89" spans="1:10">
      <c r="A89" s="117" t="s">
        <v>181</v>
      </c>
      <c r="B89" s="106">
        <v>286000</v>
      </c>
      <c r="C89" s="11">
        <v>107000</v>
      </c>
      <c r="D89" s="11">
        <v>82000</v>
      </c>
      <c r="E89" s="11">
        <v>10000</v>
      </c>
      <c r="F89" s="11">
        <v>10000</v>
      </c>
      <c r="G89" s="16" t="s">
        <v>191</v>
      </c>
      <c r="H89" s="11">
        <v>3000</v>
      </c>
      <c r="I89" s="11">
        <v>85000</v>
      </c>
      <c r="J89" s="11">
        <v>93000</v>
      </c>
    </row>
    <row r="90" spans="1:10" ht="24">
      <c r="A90" s="117" t="s">
        <v>182</v>
      </c>
      <c r="B90" s="106">
        <v>86000</v>
      </c>
      <c r="C90" s="11">
        <v>29000</v>
      </c>
      <c r="D90" s="11">
        <v>13000</v>
      </c>
      <c r="E90" s="11">
        <v>3000</v>
      </c>
      <c r="F90" s="11">
        <v>8000</v>
      </c>
      <c r="G90" s="16" t="s">
        <v>191</v>
      </c>
      <c r="H90" s="11">
        <v>4000</v>
      </c>
      <c r="I90" s="11">
        <v>13000</v>
      </c>
      <c r="J90" s="11">
        <v>43000</v>
      </c>
    </row>
    <row r="91" spans="1:10" ht="24">
      <c r="A91" s="116" t="s">
        <v>183</v>
      </c>
      <c r="B91" s="132">
        <v>888000</v>
      </c>
      <c r="C91" s="25">
        <v>560000</v>
      </c>
      <c r="D91" s="25">
        <v>2000</v>
      </c>
      <c r="E91" s="25">
        <v>539000</v>
      </c>
      <c r="F91" s="26" t="s">
        <v>191</v>
      </c>
      <c r="G91" s="25">
        <v>4000</v>
      </c>
      <c r="H91" s="25">
        <v>14000</v>
      </c>
      <c r="I91" s="25">
        <v>132000</v>
      </c>
      <c r="J91" s="25">
        <v>195000</v>
      </c>
    </row>
    <row r="92" spans="1:10" ht="24">
      <c r="A92" s="117" t="s">
        <v>184</v>
      </c>
      <c r="B92" s="132">
        <v>732000</v>
      </c>
      <c r="C92" s="25">
        <v>481000</v>
      </c>
      <c r="D92" s="25">
        <v>1000</v>
      </c>
      <c r="E92" s="25">
        <v>465000</v>
      </c>
      <c r="F92" s="26" t="s">
        <v>220</v>
      </c>
      <c r="G92" s="26" t="s">
        <v>191</v>
      </c>
      <c r="H92" s="25">
        <v>12000</v>
      </c>
      <c r="I92" s="25">
        <v>102000</v>
      </c>
      <c r="J92" s="25">
        <v>148000</v>
      </c>
    </row>
    <row r="93" spans="1:10" ht="24">
      <c r="A93" s="117" t="s">
        <v>185</v>
      </c>
      <c r="B93" s="106">
        <v>156000</v>
      </c>
      <c r="C93" s="11">
        <v>79000</v>
      </c>
      <c r="D93" s="11">
        <v>1000</v>
      </c>
      <c r="E93" s="11">
        <v>74000</v>
      </c>
      <c r="F93" s="16" t="s">
        <v>220</v>
      </c>
      <c r="G93" s="16" t="s">
        <v>191</v>
      </c>
      <c r="H93" s="11">
        <v>2000</v>
      </c>
      <c r="I93" s="11">
        <v>30000</v>
      </c>
      <c r="J93" s="11">
        <v>47000</v>
      </c>
    </row>
    <row r="94" spans="1:10" ht="24">
      <c r="A94" s="116" t="s">
        <v>186</v>
      </c>
      <c r="B94" s="106">
        <v>174000</v>
      </c>
      <c r="C94" s="11">
        <v>106000</v>
      </c>
      <c r="D94" s="11">
        <v>10000</v>
      </c>
      <c r="E94" s="11">
        <v>25000</v>
      </c>
      <c r="F94" s="11">
        <v>58000</v>
      </c>
      <c r="G94" s="16" t="s">
        <v>191</v>
      </c>
      <c r="H94" s="11">
        <v>12000</v>
      </c>
      <c r="I94" s="11">
        <v>29000</v>
      </c>
      <c r="J94" s="11">
        <v>39000</v>
      </c>
    </row>
    <row r="95" spans="1:10" ht="24">
      <c r="A95" s="117" t="s">
        <v>187</v>
      </c>
      <c r="B95" s="132">
        <v>57000</v>
      </c>
      <c r="C95" s="25">
        <v>28000</v>
      </c>
      <c r="D95" s="25">
        <v>8000</v>
      </c>
      <c r="E95" s="26" t="s">
        <v>191</v>
      </c>
      <c r="F95" s="25">
        <v>13000</v>
      </c>
      <c r="G95" s="26" t="s">
        <v>220</v>
      </c>
      <c r="H95" s="25">
        <v>4000</v>
      </c>
      <c r="I95" s="25">
        <v>11000</v>
      </c>
      <c r="J95" s="25">
        <v>19000</v>
      </c>
    </row>
    <row r="96" spans="1:10" ht="24">
      <c r="A96" s="117" t="s">
        <v>188</v>
      </c>
      <c r="B96" s="132">
        <v>59000</v>
      </c>
      <c r="C96" s="25">
        <v>39000</v>
      </c>
      <c r="D96" s="25">
        <v>1000</v>
      </c>
      <c r="E96" s="25">
        <v>3000</v>
      </c>
      <c r="F96" s="25">
        <v>29000</v>
      </c>
      <c r="G96" s="26" t="s">
        <v>220</v>
      </c>
      <c r="H96" s="25">
        <v>5000</v>
      </c>
      <c r="I96" s="25">
        <v>6000</v>
      </c>
      <c r="J96" s="25">
        <v>14000</v>
      </c>
    </row>
    <row r="97" spans="1:10">
      <c r="A97" s="117" t="s">
        <v>189</v>
      </c>
      <c r="B97" s="106">
        <v>52000</v>
      </c>
      <c r="C97" s="11">
        <v>37000</v>
      </c>
      <c r="D97" s="16" t="s">
        <v>220</v>
      </c>
      <c r="E97" s="11">
        <v>20000</v>
      </c>
      <c r="F97" s="11">
        <v>15000</v>
      </c>
      <c r="G97" s="16" t="s">
        <v>220</v>
      </c>
      <c r="H97" s="11">
        <v>3000</v>
      </c>
      <c r="I97" s="11">
        <v>9000</v>
      </c>
      <c r="J97" s="11">
        <v>6000</v>
      </c>
    </row>
    <row r="98" spans="1:10">
      <c r="A98" s="117" t="s">
        <v>190</v>
      </c>
      <c r="B98" s="106">
        <v>6000</v>
      </c>
      <c r="C98" s="16" t="s">
        <v>191</v>
      </c>
      <c r="D98" s="16" t="s">
        <v>220</v>
      </c>
      <c r="E98" s="16" t="s">
        <v>220</v>
      </c>
      <c r="F98" s="16" t="s">
        <v>191</v>
      </c>
      <c r="G98" s="16" t="s">
        <v>220</v>
      </c>
      <c r="H98" s="16" t="s">
        <v>220</v>
      </c>
      <c r="I98" s="16" t="s">
        <v>191</v>
      </c>
      <c r="J98" s="11">
        <v>1000</v>
      </c>
    </row>
    <row r="99" spans="1:10">
      <c r="A99" s="116" t="s">
        <v>192</v>
      </c>
      <c r="B99" s="106">
        <v>1171000</v>
      </c>
      <c r="C99" s="11">
        <v>212000</v>
      </c>
      <c r="D99" s="11">
        <v>2000</v>
      </c>
      <c r="E99" s="11">
        <v>42000</v>
      </c>
      <c r="F99" s="11">
        <v>2000</v>
      </c>
      <c r="G99" s="11">
        <v>163000</v>
      </c>
      <c r="H99" s="11">
        <v>3000</v>
      </c>
      <c r="I99" s="11">
        <v>109000</v>
      </c>
      <c r="J99" s="11">
        <v>850000</v>
      </c>
    </row>
    <row r="100" spans="1:10">
      <c r="A100" s="145" t="s">
        <v>193</v>
      </c>
      <c r="B100" s="105">
        <v>114000</v>
      </c>
      <c r="C100" s="9">
        <v>30000</v>
      </c>
      <c r="D100" s="13" t="s">
        <v>220</v>
      </c>
      <c r="E100" s="9">
        <v>10000</v>
      </c>
      <c r="F100" s="13" t="s">
        <v>220</v>
      </c>
      <c r="G100" s="9">
        <v>19000</v>
      </c>
      <c r="H100" s="13" t="s">
        <v>222</v>
      </c>
      <c r="I100" s="9">
        <v>2000</v>
      </c>
      <c r="J100" s="9">
        <v>81000</v>
      </c>
    </row>
    <row r="101" spans="1:10" ht="24">
      <c r="A101" s="117" t="s">
        <v>194</v>
      </c>
      <c r="B101" s="106">
        <v>231000</v>
      </c>
      <c r="C101" s="11">
        <v>46000</v>
      </c>
      <c r="D101" s="16" t="s">
        <v>220</v>
      </c>
      <c r="E101" s="11">
        <v>12000</v>
      </c>
      <c r="F101" s="16" t="s">
        <v>220</v>
      </c>
      <c r="G101" s="11">
        <v>32000</v>
      </c>
      <c r="H101" s="11">
        <v>1000</v>
      </c>
      <c r="I101" s="11">
        <v>12000</v>
      </c>
      <c r="J101" s="11">
        <v>173000</v>
      </c>
    </row>
    <row r="102" spans="1:10">
      <c r="A102" s="146" t="s">
        <v>195</v>
      </c>
      <c r="B102" s="105">
        <v>602000</v>
      </c>
      <c r="C102" s="9">
        <v>96000</v>
      </c>
      <c r="D102" s="9">
        <v>1000</v>
      </c>
      <c r="E102" s="9">
        <v>7000</v>
      </c>
      <c r="F102" s="13" t="s">
        <v>220</v>
      </c>
      <c r="G102" s="9">
        <v>86000</v>
      </c>
      <c r="H102" s="13" t="s">
        <v>220</v>
      </c>
      <c r="I102" s="9">
        <v>73000</v>
      </c>
      <c r="J102" s="9">
        <v>433000</v>
      </c>
    </row>
    <row r="103" spans="1:10" ht="24">
      <c r="A103" s="117" t="s">
        <v>196</v>
      </c>
      <c r="B103" s="142">
        <v>82000</v>
      </c>
      <c r="C103" s="31">
        <v>22000</v>
      </c>
      <c r="D103" s="32" t="s">
        <v>220</v>
      </c>
      <c r="E103" s="29">
        <v>3000</v>
      </c>
      <c r="F103" s="32" t="s">
        <v>220</v>
      </c>
      <c r="G103" s="29">
        <v>18000</v>
      </c>
      <c r="H103" s="32" t="s">
        <v>220</v>
      </c>
      <c r="I103" s="29">
        <v>7000</v>
      </c>
      <c r="J103" s="29">
        <v>53000</v>
      </c>
    </row>
    <row r="104" spans="1:10">
      <c r="A104" s="117" t="s">
        <v>197</v>
      </c>
      <c r="B104" s="106">
        <v>142000</v>
      </c>
      <c r="C104" s="33">
        <v>18000</v>
      </c>
      <c r="D104" s="16" t="s">
        <v>220</v>
      </c>
      <c r="E104" s="11">
        <v>9000</v>
      </c>
      <c r="F104" s="11">
        <v>1000</v>
      </c>
      <c r="G104" s="11">
        <v>7000</v>
      </c>
      <c r="H104" s="16" t="s">
        <v>222</v>
      </c>
      <c r="I104" s="11">
        <v>15000</v>
      </c>
      <c r="J104" s="11">
        <v>110000</v>
      </c>
    </row>
    <row r="105" spans="1:10">
      <c r="A105" s="116" t="s">
        <v>198</v>
      </c>
      <c r="B105" s="105">
        <v>1030000</v>
      </c>
      <c r="C105" s="34">
        <v>635000</v>
      </c>
      <c r="D105" s="9">
        <v>11000</v>
      </c>
      <c r="E105" s="9">
        <v>195000</v>
      </c>
      <c r="F105" s="9">
        <v>8000</v>
      </c>
      <c r="G105" s="13" t="s">
        <v>191</v>
      </c>
      <c r="H105" s="9">
        <v>418000</v>
      </c>
      <c r="I105" s="9">
        <v>178000</v>
      </c>
      <c r="J105" s="9">
        <v>216000</v>
      </c>
    </row>
    <row r="106" spans="1:10" ht="36">
      <c r="A106" s="117" t="s">
        <v>199</v>
      </c>
      <c r="B106" s="132">
        <v>48000</v>
      </c>
      <c r="C106" s="35">
        <v>29000</v>
      </c>
      <c r="D106" s="26" t="s">
        <v>220</v>
      </c>
      <c r="E106" s="25">
        <v>2000</v>
      </c>
      <c r="F106" s="26" t="s">
        <v>220</v>
      </c>
      <c r="G106" s="26" t="s">
        <v>220</v>
      </c>
      <c r="H106" s="25">
        <v>27000</v>
      </c>
      <c r="I106" s="25">
        <v>7000</v>
      </c>
      <c r="J106" s="25">
        <v>12000</v>
      </c>
    </row>
    <row r="107" spans="1:10">
      <c r="A107" s="117" t="s">
        <v>200</v>
      </c>
      <c r="B107" s="106">
        <v>38000</v>
      </c>
      <c r="C107" s="33">
        <v>19000</v>
      </c>
      <c r="D107" s="11">
        <v>1000</v>
      </c>
      <c r="E107" s="11">
        <v>3000</v>
      </c>
      <c r="F107" s="16" t="s">
        <v>191</v>
      </c>
      <c r="G107" s="16" t="s">
        <v>220</v>
      </c>
      <c r="H107" s="11">
        <v>15000</v>
      </c>
      <c r="I107" s="11">
        <v>7000</v>
      </c>
      <c r="J107" s="11">
        <v>11000</v>
      </c>
    </row>
    <row r="108" spans="1:10" ht="24">
      <c r="A108" s="117" t="s">
        <v>201</v>
      </c>
      <c r="B108" s="132">
        <v>126000</v>
      </c>
      <c r="C108" s="35">
        <v>85000</v>
      </c>
      <c r="D108" s="26" t="s">
        <v>220</v>
      </c>
      <c r="E108" s="25">
        <v>4000</v>
      </c>
      <c r="F108" s="25">
        <v>1000</v>
      </c>
      <c r="G108" s="26" t="s">
        <v>220</v>
      </c>
      <c r="H108" s="25">
        <v>78000</v>
      </c>
      <c r="I108" s="25">
        <v>21000</v>
      </c>
      <c r="J108" s="25">
        <v>20000</v>
      </c>
    </row>
    <row r="109" spans="1:10" ht="24">
      <c r="A109" s="117" t="s">
        <v>202</v>
      </c>
      <c r="B109" s="132">
        <v>406000</v>
      </c>
      <c r="C109" s="36">
        <v>262000</v>
      </c>
      <c r="D109" s="26" t="s">
        <v>191</v>
      </c>
      <c r="E109" s="25">
        <v>147000</v>
      </c>
      <c r="F109" s="26" t="s">
        <v>191</v>
      </c>
      <c r="G109" s="26" t="s">
        <v>220</v>
      </c>
      <c r="H109" s="25">
        <v>113000</v>
      </c>
      <c r="I109" s="25">
        <v>76000</v>
      </c>
      <c r="J109" s="25">
        <v>68000</v>
      </c>
    </row>
    <row r="110" spans="1:10">
      <c r="A110" s="117" t="s">
        <v>203</v>
      </c>
      <c r="B110" s="106">
        <v>66000</v>
      </c>
      <c r="C110" s="33">
        <v>31000</v>
      </c>
      <c r="D110" s="16" t="s">
        <v>220</v>
      </c>
      <c r="E110" s="11">
        <v>11000</v>
      </c>
      <c r="F110" s="16" t="s">
        <v>220</v>
      </c>
      <c r="G110" s="16" t="s">
        <v>220</v>
      </c>
      <c r="H110" s="11">
        <v>19000</v>
      </c>
      <c r="I110" s="11">
        <v>12000</v>
      </c>
      <c r="J110" s="11">
        <v>22000</v>
      </c>
    </row>
    <row r="111" spans="1:10">
      <c r="A111" s="117" t="s">
        <v>204</v>
      </c>
      <c r="B111" s="106">
        <v>159000</v>
      </c>
      <c r="C111" s="37">
        <v>107000</v>
      </c>
      <c r="D111" s="16" t="s">
        <v>220</v>
      </c>
      <c r="E111" s="11">
        <v>16000</v>
      </c>
      <c r="F111" s="16" t="s">
        <v>222</v>
      </c>
      <c r="G111" s="16" t="s">
        <v>220</v>
      </c>
      <c r="H111" s="11">
        <v>90000</v>
      </c>
      <c r="I111" s="11">
        <v>23000</v>
      </c>
      <c r="J111" s="11">
        <v>30000</v>
      </c>
    </row>
    <row r="112" spans="1:10">
      <c r="A112" s="117" t="s">
        <v>205</v>
      </c>
      <c r="B112" s="106">
        <v>188000</v>
      </c>
      <c r="C112" s="37">
        <v>102000</v>
      </c>
      <c r="D112" s="11">
        <v>9000</v>
      </c>
      <c r="E112" s="11">
        <v>13000</v>
      </c>
      <c r="F112" s="11">
        <v>5000</v>
      </c>
      <c r="G112" s="16" t="s">
        <v>220</v>
      </c>
      <c r="H112" s="11">
        <v>76000</v>
      </c>
      <c r="I112" s="11">
        <v>32000</v>
      </c>
      <c r="J112" s="11">
        <v>54000</v>
      </c>
    </row>
    <row r="113" spans="1:10">
      <c r="A113" s="115" t="s">
        <v>206</v>
      </c>
      <c r="B113" s="105">
        <v>2080000</v>
      </c>
      <c r="C113" s="34">
        <v>156000</v>
      </c>
      <c r="D113" s="9">
        <v>28000</v>
      </c>
      <c r="E113" s="9">
        <v>72000</v>
      </c>
      <c r="F113" s="9">
        <v>5000</v>
      </c>
      <c r="G113" s="9">
        <v>31000</v>
      </c>
      <c r="H113" s="9">
        <v>20000</v>
      </c>
      <c r="I113" s="9">
        <v>1327000</v>
      </c>
      <c r="J113" s="9">
        <v>598000</v>
      </c>
    </row>
    <row r="114" spans="1:10">
      <c r="A114" s="116" t="s">
        <v>207</v>
      </c>
      <c r="B114" s="105">
        <v>1561000</v>
      </c>
      <c r="C114" s="38">
        <v>65000</v>
      </c>
      <c r="D114" s="9">
        <v>23000</v>
      </c>
      <c r="E114" s="9">
        <v>21000</v>
      </c>
      <c r="F114" s="9">
        <v>2000</v>
      </c>
      <c r="G114" s="9">
        <v>18000</v>
      </c>
      <c r="H114" s="13" t="s">
        <v>191</v>
      </c>
      <c r="I114" s="9">
        <v>1102000</v>
      </c>
      <c r="J114" s="9">
        <v>394000</v>
      </c>
    </row>
    <row r="115" spans="1:10" ht="24">
      <c r="A115" s="116" t="s">
        <v>208</v>
      </c>
      <c r="B115" s="132">
        <v>244000</v>
      </c>
      <c r="C115" s="35">
        <v>14000</v>
      </c>
      <c r="D115" s="26" t="s">
        <v>191</v>
      </c>
      <c r="E115" s="25">
        <v>9000</v>
      </c>
      <c r="F115" s="25">
        <v>2000</v>
      </c>
      <c r="G115" s="26" t="s">
        <v>222</v>
      </c>
      <c r="H115" s="26" t="s">
        <v>220</v>
      </c>
      <c r="I115" s="25">
        <v>133000</v>
      </c>
      <c r="J115" s="25">
        <v>97000</v>
      </c>
    </row>
    <row r="116" spans="1:10" ht="24">
      <c r="A116" s="116" t="s">
        <v>209</v>
      </c>
      <c r="B116" s="106">
        <v>86000</v>
      </c>
      <c r="C116" s="33">
        <v>48000</v>
      </c>
      <c r="D116" s="16" t="s">
        <v>220</v>
      </c>
      <c r="E116" s="11">
        <v>37000</v>
      </c>
      <c r="F116" s="16" t="s">
        <v>220</v>
      </c>
      <c r="G116" s="16" t="s">
        <v>191</v>
      </c>
      <c r="H116" s="11">
        <v>10000</v>
      </c>
      <c r="I116" s="11">
        <v>13000</v>
      </c>
      <c r="J116" s="11">
        <v>25000</v>
      </c>
    </row>
    <row r="117" spans="1:10">
      <c r="A117" s="116" t="s">
        <v>210</v>
      </c>
      <c r="B117" s="106">
        <v>189000</v>
      </c>
      <c r="C117" s="33">
        <v>28000</v>
      </c>
      <c r="D117" s="16" t="s">
        <v>220</v>
      </c>
      <c r="E117" s="11">
        <v>5000</v>
      </c>
      <c r="F117" s="16" t="s">
        <v>191</v>
      </c>
      <c r="G117" s="11">
        <v>12000</v>
      </c>
      <c r="H117" s="11">
        <v>8000</v>
      </c>
      <c r="I117" s="11">
        <v>80000</v>
      </c>
      <c r="J117" s="11">
        <v>81000</v>
      </c>
    </row>
    <row r="118" spans="1:10">
      <c r="A118" s="115" t="s">
        <v>211</v>
      </c>
      <c r="B118" s="105">
        <v>8928000</v>
      </c>
      <c r="C118" s="34">
        <v>584000</v>
      </c>
      <c r="D118" s="9">
        <v>23000</v>
      </c>
      <c r="E118" s="9">
        <v>364000</v>
      </c>
      <c r="F118" s="9">
        <v>11000</v>
      </c>
      <c r="G118" s="9">
        <v>77000</v>
      </c>
      <c r="H118" s="9">
        <v>109000</v>
      </c>
      <c r="I118" s="9">
        <v>699000</v>
      </c>
      <c r="J118" s="9">
        <v>7644000</v>
      </c>
    </row>
    <row r="119" spans="1:10" ht="24">
      <c r="A119" s="116" t="s">
        <v>212</v>
      </c>
      <c r="B119" s="132">
        <v>3311000</v>
      </c>
      <c r="C119" s="36">
        <v>349000</v>
      </c>
      <c r="D119" s="25">
        <v>4000</v>
      </c>
      <c r="E119" s="25">
        <v>231000</v>
      </c>
      <c r="F119" s="25">
        <v>3000</v>
      </c>
      <c r="G119" s="25">
        <v>17000</v>
      </c>
      <c r="H119" s="25">
        <v>95000</v>
      </c>
      <c r="I119" s="25">
        <v>262000</v>
      </c>
      <c r="J119" s="25">
        <v>2700000</v>
      </c>
    </row>
    <row r="120" spans="1:10" ht="36">
      <c r="A120" s="116" t="s">
        <v>213</v>
      </c>
      <c r="B120" s="132">
        <v>2888000</v>
      </c>
      <c r="C120" s="35">
        <v>53000</v>
      </c>
      <c r="D120" s="25">
        <v>1000</v>
      </c>
      <c r="E120" s="25">
        <v>34000</v>
      </c>
      <c r="F120" s="26" t="s">
        <v>191</v>
      </c>
      <c r="G120" s="25">
        <v>13000</v>
      </c>
      <c r="H120" s="26" t="s">
        <v>191</v>
      </c>
      <c r="I120" s="25">
        <v>285000</v>
      </c>
      <c r="J120" s="25">
        <v>2550000</v>
      </c>
    </row>
    <row r="121" spans="1:10" ht="24">
      <c r="A121" s="116" t="s">
        <v>214</v>
      </c>
      <c r="B121" s="106">
        <v>841000</v>
      </c>
      <c r="C121" s="33">
        <v>39000</v>
      </c>
      <c r="D121" s="16" t="s">
        <v>220</v>
      </c>
      <c r="E121" s="16" t="s">
        <v>191</v>
      </c>
      <c r="F121" s="16" t="s">
        <v>220</v>
      </c>
      <c r="G121" s="11">
        <v>16000</v>
      </c>
      <c r="H121" s="11">
        <v>1000</v>
      </c>
      <c r="I121" s="11">
        <v>45000</v>
      </c>
      <c r="J121" s="11">
        <v>757000</v>
      </c>
    </row>
    <row r="122" spans="1:10">
      <c r="A122" s="116" t="s">
        <v>215</v>
      </c>
      <c r="B122" s="106">
        <v>210000</v>
      </c>
      <c r="C122" s="33">
        <v>17000</v>
      </c>
      <c r="D122" s="16" t="s">
        <v>220</v>
      </c>
      <c r="E122" s="11">
        <v>15000</v>
      </c>
      <c r="F122" s="16" t="s">
        <v>220</v>
      </c>
      <c r="G122" s="16" t="s">
        <v>220</v>
      </c>
      <c r="H122" s="16" t="s">
        <v>220</v>
      </c>
      <c r="I122" s="11">
        <v>11000</v>
      </c>
      <c r="J122" s="11">
        <v>183000</v>
      </c>
    </row>
    <row r="123" spans="1:10">
      <c r="A123" s="116" t="s">
        <v>216</v>
      </c>
      <c r="B123" s="106">
        <v>740000</v>
      </c>
      <c r="C123" s="33">
        <v>38000</v>
      </c>
      <c r="D123" s="16" t="s">
        <v>220</v>
      </c>
      <c r="E123" s="11">
        <v>27000</v>
      </c>
      <c r="F123" s="16" t="s">
        <v>220</v>
      </c>
      <c r="G123" s="11">
        <v>8000</v>
      </c>
      <c r="H123" s="11">
        <v>3000</v>
      </c>
      <c r="I123" s="11">
        <v>48000</v>
      </c>
      <c r="J123" s="11">
        <v>654000</v>
      </c>
    </row>
    <row r="124" spans="1:10">
      <c r="A124" s="116" t="s">
        <v>217</v>
      </c>
      <c r="B124" s="106">
        <v>938000</v>
      </c>
      <c r="C124" s="33">
        <v>89000</v>
      </c>
      <c r="D124" s="11">
        <v>18000</v>
      </c>
      <c r="E124" s="11">
        <v>37000</v>
      </c>
      <c r="F124" s="11">
        <v>5000</v>
      </c>
      <c r="G124" s="11">
        <v>23000</v>
      </c>
      <c r="H124" s="11">
        <v>6000</v>
      </c>
      <c r="I124" s="11">
        <v>49000</v>
      </c>
      <c r="J124" s="11">
        <v>800000</v>
      </c>
    </row>
    <row r="125" spans="1:10">
      <c r="A125" s="135" t="s">
        <v>221</v>
      </c>
      <c r="B125" s="136">
        <v>2141000</v>
      </c>
      <c r="C125" s="147">
        <v>962000</v>
      </c>
      <c r="D125" s="137">
        <v>291000</v>
      </c>
      <c r="E125" s="137">
        <v>185000</v>
      </c>
      <c r="F125" s="137">
        <v>125000</v>
      </c>
      <c r="G125" s="137">
        <v>221000</v>
      </c>
      <c r="H125" s="137">
        <v>141000</v>
      </c>
      <c r="I125" s="137">
        <v>374000</v>
      </c>
      <c r="J125" s="137">
        <v>805000</v>
      </c>
    </row>
    <row r="126" spans="1:10">
      <c r="A126" s="138" t="s">
        <v>178</v>
      </c>
      <c r="B126" s="105">
        <v>1302000</v>
      </c>
      <c r="C126" s="34">
        <v>861000</v>
      </c>
      <c r="D126" s="9">
        <v>256000</v>
      </c>
      <c r="E126" s="9">
        <v>167000</v>
      </c>
      <c r="F126" s="9">
        <v>122000</v>
      </c>
      <c r="G126" s="9">
        <v>181000</v>
      </c>
      <c r="H126" s="9">
        <v>134000</v>
      </c>
      <c r="I126" s="9">
        <v>157000</v>
      </c>
      <c r="J126" s="9">
        <v>285000</v>
      </c>
    </row>
    <row r="127" spans="1:10" ht="24">
      <c r="A127" s="139" t="s">
        <v>179</v>
      </c>
      <c r="B127" s="134">
        <v>380000</v>
      </c>
      <c r="C127" s="27">
        <v>240000</v>
      </c>
      <c r="D127" s="27">
        <v>213000</v>
      </c>
      <c r="E127" s="27">
        <v>14000</v>
      </c>
      <c r="F127" s="27">
        <v>9000</v>
      </c>
      <c r="G127" s="27">
        <v>3000</v>
      </c>
      <c r="H127" s="27">
        <v>1000</v>
      </c>
      <c r="I127" s="27">
        <v>74000</v>
      </c>
      <c r="J127" s="27">
        <v>66000</v>
      </c>
    </row>
    <row r="128" spans="1:10" ht="24">
      <c r="A128" s="140" t="s">
        <v>180</v>
      </c>
      <c r="B128" s="106">
        <v>23000</v>
      </c>
      <c r="C128" s="11">
        <v>14000</v>
      </c>
      <c r="D128" s="11">
        <v>13000</v>
      </c>
      <c r="E128" s="16" t="s">
        <v>222</v>
      </c>
      <c r="F128" s="16" t="s">
        <v>220</v>
      </c>
      <c r="G128" s="16" t="s">
        <v>220</v>
      </c>
      <c r="H128" s="16" t="s">
        <v>220</v>
      </c>
      <c r="I128" s="11">
        <v>1000</v>
      </c>
      <c r="J128" s="11">
        <v>8000</v>
      </c>
    </row>
    <row r="129" spans="1:10">
      <c r="A129" s="140" t="s">
        <v>181</v>
      </c>
      <c r="B129" s="106">
        <v>350000</v>
      </c>
      <c r="C129" s="11">
        <v>221000</v>
      </c>
      <c r="D129" s="11">
        <v>198000</v>
      </c>
      <c r="E129" s="11">
        <v>14000</v>
      </c>
      <c r="F129" s="11">
        <v>7000</v>
      </c>
      <c r="G129" s="11">
        <v>3000</v>
      </c>
      <c r="H129" s="16" t="s">
        <v>191</v>
      </c>
      <c r="I129" s="11">
        <v>72000</v>
      </c>
      <c r="J129" s="11">
        <v>56000</v>
      </c>
    </row>
    <row r="130" spans="1:10" ht="24">
      <c r="A130" s="140" t="s">
        <v>182</v>
      </c>
      <c r="B130" s="106">
        <v>7000</v>
      </c>
      <c r="C130" s="11">
        <v>5000</v>
      </c>
      <c r="D130" s="16" t="s">
        <v>191</v>
      </c>
      <c r="E130" s="16" t="s">
        <v>220</v>
      </c>
      <c r="F130" s="11">
        <v>2000</v>
      </c>
      <c r="G130" s="11">
        <v>1000</v>
      </c>
      <c r="H130" s="16" t="s">
        <v>220</v>
      </c>
      <c r="I130" s="16" t="s">
        <v>222</v>
      </c>
      <c r="J130" s="16" t="s">
        <v>191</v>
      </c>
    </row>
    <row r="131" spans="1:10" ht="24">
      <c r="A131" s="139" t="s">
        <v>183</v>
      </c>
      <c r="B131" s="132">
        <v>127000</v>
      </c>
      <c r="C131" s="25">
        <v>98000</v>
      </c>
      <c r="D131" s="25">
        <v>4000</v>
      </c>
      <c r="E131" s="25">
        <v>89000</v>
      </c>
      <c r="F131" s="26" t="s">
        <v>191</v>
      </c>
      <c r="G131" s="25">
        <v>1000</v>
      </c>
      <c r="H131" s="25">
        <v>2000</v>
      </c>
      <c r="I131" s="25">
        <v>10000</v>
      </c>
      <c r="J131" s="25">
        <v>19000</v>
      </c>
    </row>
    <row r="132" spans="1:10" ht="24">
      <c r="A132" s="140" t="s">
        <v>184</v>
      </c>
      <c r="B132" s="132">
        <v>68000</v>
      </c>
      <c r="C132" s="25">
        <v>51000</v>
      </c>
      <c r="D132" s="26" t="s">
        <v>191</v>
      </c>
      <c r="E132" s="25">
        <v>46000</v>
      </c>
      <c r="F132" s="26" t="s">
        <v>220</v>
      </c>
      <c r="G132" s="26" t="s">
        <v>222</v>
      </c>
      <c r="H132" s="26" t="s">
        <v>191</v>
      </c>
      <c r="I132" s="25">
        <v>7000</v>
      </c>
      <c r="J132" s="25">
        <v>10000</v>
      </c>
    </row>
    <row r="133" spans="1:10" ht="24">
      <c r="A133" s="140" t="s">
        <v>185</v>
      </c>
      <c r="B133" s="106">
        <v>59000</v>
      </c>
      <c r="C133" s="11">
        <v>47000</v>
      </c>
      <c r="D133" s="16" t="s">
        <v>191</v>
      </c>
      <c r="E133" s="11">
        <v>44000</v>
      </c>
      <c r="F133" s="16" t="s">
        <v>222</v>
      </c>
      <c r="G133" s="16" t="s">
        <v>220</v>
      </c>
      <c r="H133" s="16" t="s">
        <v>191</v>
      </c>
      <c r="I133" s="11">
        <v>3000</v>
      </c>
      <c r="J133" s="11">
        <v>9000</v>
      </c>
    </row>
    <row r="134" spans="1:10" ht="24">
      <c r="A134" s="139" t="s">
        <v>186</v>
      </c>
      <c r="B134" s="106">
        <v>215000</v>
      </c>
      <c r="C134" s="11">
        <v>155000</v>
      </c>
      <c r="D134" s="11">
        <v>19000</v>
      </c>
      <c r="E134" s="11">
        <v>20000</v>
      </c>
      <c r="F134" s="11">
        <v>100000</v>
      </c>
      <c r="G134" s="16" t="s">
        <v>220</v>
      </c>
      <c r="H134" s="11">
        <v>16000</v>
      </c>
      <c r="I134" s="11">
        <v>20000</v>
      </c>
      <c r="J134" s="11">
        <v>40000</v>
      </c>
    </row>
    <row r="135" spans="1:10" ht="24">
      <c r="A135" s="140" t="s">
        <v>187</v>
      </c>
      <c r="B135" s="132">
        <v>97000</v>
      </c>
      <c r="C135" s="25">
        <v>68000</v>
      </c>
      <c r="D135" s="25">
        <v>13000</v>
      </c>
      <c r="E135" s="25">
        <v>7000</v>
      </c>
      <c r="F135" s="25">
        <v>42000</v>
      </c>
      <c r="G135" s="26" t="s">
        <v>220</v>
      </c>
      <c r="H135" s="25">
        <v>6000</v>
      </c>
      <c r="I135" s="25">
        <v>9000</v>
      </c>
      <c r="J135" s="25">
        <v>21000</v>
      </c>
    </row>
    <row r="136" spans="1:10" ht="24">
      <c r="A136" s="140" t="s">
        <v>188</v>
      </c>
      <c r="B136" s="132">
        <v>33000</v>
      </c>
      <c r="C136" s="25">
        <v>27000</v>
      </c>
      <c r="D136" s="25">
        <v>3000</v>
      </c>
      <c r="E136" s="25">
        <v>1000</v>
      </c>
      <c r="F136" s="25">
        <v>23000</v>
      </c>
      <c r="G136" s="26" t="s">
        <v>220</v>
      </c>
      <c r="H136" s="26" t="s">
        <v>222</v>
      </c>
      <c r="I136" s="26" t="s">
        <v>191</v>
      </c>
      <c r="J136" s="25">
        <v>4000</v>
      </c>
    </row>
    <row r="137" spans="1:10">
      <c r="A137" s="140" t="s">
        <v>189</v>
      </c>
      <c r="B137" s="106">
        <v>82000</v>
      </c>
      <c r="C137" s="11">
        <v>59000</v>
      </c>
      <c r="D137" s="11">
        <v>2000</v>
      </c>
      <c r="E137" s="11">
        <v>13000</v>
      </c>
      <c r="F137" s="11">
        <v>35000</v>
      </c>
      <c r="G137" s="16" t="s">
        <v>220</v>
      </c>
      <c r="H137" s="11">
        <v>9000</v>
      </c>
      <c r="I137" s="11">
        <v>9000</v>
      </c>
      <c r="J137" s="11">
        <v>15000</v>
      </c>
    </row>
    <row r="138" spans="1:10">
      <c r="A138" s="140" t="s">
        <v>190</v>
      </c>
      <c r="B138" s="106">
        <v>2000</v>
      </c>
      <c r="C138" s="11">
        <v>1000</v>
      </c>
      <c r="D138" s="16" t="s">
        <v>220</v>
      </c>
      <c r="E138" s="16" t="s">
        <v>220</v>
      </c>
      <c r="F138" s="16" t="s">
        <v>220</v>
      </c>
      <c r="G138" s="16" t="s">
        <v>220</v>
      </c>
      <c r="H138" s="16" t="s">
        <v>220</v>
      </c>
      <c r="I138" s="16" t="s">
        <v>220</v>
      </c>
      <c r="J138" s="16" t="s">
        <v>220</v>
      </c>
    </row>
    <row r="139" spans="1:10">
      <c r="A139" s="139" t="s">
        <v>192</v>
      </c>
      <c r="B139" s="106">
        <v>325000</v>
      </c>
      <c r="C139" s="11">
        <v>196000</v>
      </c>
      <c r="D139" s="11">
        <v>9000</v>
      </c>
      <c r="E139" s="11">
        <v>9000</v>
      </c>
      <c r="F139" s="11">
        <v>1000</v>
      </c>
      <c r="G139" s="11">
        <v>177000</v>
      </c>
      <c r="H139" s="16" t="s">
        <v>220</v>
      </c>
      <c r="I139" s="11">
        <v>19000</v>
      </c>
      <c r="J139" s="11">
        <v>110000</v>
      </c>
    </row>
    <row r="140" spans="1:10">
      <c r="A140" s="148" t="s">
        <v>193</v>
      </c>
      <c r="B140" s="105">
        <v>42000</v>
      </c>
      <c r="C140" s="9">
        <v>26000</v>
      </c>
      <c r="D140" s="13" t="s">
        <v>220</v>
      </c>
      <c r="E140" s="9">
        <v>1000</v>
      </c>
      <c r="F140" s="13" t="s">
        <v>220</v>
      </c>
      <c r="G140" s="9">
        <v>24000</v>
      </c>
      <c r="H140" s="13" t="s">
        <v>220</v>
      </c>
      <c r="I140" s="13" t="s">
        <v>191</v>
      </c>
      <c r="J140" s="9">
        <v>15000</v>
      </c>
    </row>
    <row r="141" spans="1:10" ht="24">
      <c r="A141" s="140" t="s">
        <v>194</v>
      </c>
      <c r="B141" s="106">
        <v>32000</v>
      </c>
      <c r="C141" s="11">
        <v>16000</v>
      </c>
      <c r="D141" s="16" t="s">
        <v>220</v>
      </c>
      <c r="E141" s="16" t="s">
        <v>191</v>
      </c>
      <c r="F141" s="16" t="s">
        <v>220</v>
      </c>
      <c r="G141" s="11">
        <v>16000</v>
      </c>
      <c r="H141" s="16" t="s">
        <v>220</v>
      </c>
      <c r="I141" s="16" t="s">
        <v>191</v>
      </c>
      <c r="J141" s="11">
        <v>14000</v>
      </c>
    </row>
    <row r="142" spans="1:10">
      <c r="A142" s="149" t="s">
        <v>195</v>
      </c>
      <c r="B142" s="105">
        <v>165000</v>
      </c>
      <c r="C142" s="9">
        <v>105000</v>
      </c>
      <c r="D142" s="9">
        <v>3000</v>
      </c>
      <c r="E142" s="9">
        <v>3000</v>
      </c>
      <c r="F142" s="13" t="s">
        <v>220</v>
      </c>
      <c r="G142" s="9">
        <v>98000</v>
      </c>
      <c r="H142" s="13" t="s">
        <v>220</v>
      </c>
      <c r="I142" s="9">
        <v>15000</v>
      </c>
      <c r="J142" s="9">
        <v>46000</v>
      </c>
    </row>
    <row r="143" spans="1:10" ht="24">
      <c r="A143" s="140" t="s">
        <v>196</v>
      </c>
      <c r="B143" s="106">
        <v>46000</v>
      </c>
      <c r="C143" s="11">
        <v>36000</v>
      </c>
      <c r="D143" s="11">
        <v>1000</v>
      </c>
      <c r="E143" s="16" t="s">
        <v>191</v>
      </c>
      <c r="F143" s="16" t="s">
        <v>220</v>
      </c>
      <c r="G143" s="11">
        <v>33000</v>
      </c>
      <c r="H143" s="16" t="s">
        <v>220</v>
      </c>
      <c r="I143" s="16" t="s">
        <v>220</v>
      </c>
      <c r="J143" s="11">
        <v>10000</v>
      </c>
    </row>
    <row r="144" spans="1:10">
      <c r="A144" s="140" t="s">
        <v>197</v>
      </c>
      <c r="B144" s="106">
        <v>40000</v>
      </c>
      <c r="C144" s="11">
        <v>14000</v>
      </c>
      <c r="D144" s="11">
        <v>4000</v>
      </c>
      <c r="E144" s="16" t="s">
        <v>191</v>
      </c>
      <c r="F144" s="11">
        <v>1000</v>
      </c>
      <c r="G144" s="11">
        <v>6000</v>
      </c>
      <c r="H144" s="16" t="s">
        <v>220</v>
      </c>
      <c r="I144" s="16" t="s">
        <v>191</v>
      </c>
      <c r="J144" s="11">
        <v>26000</v>
      </c>
    </row>
    <row r="145" spans="1:10">
      <c r="A145" s="148" t="s">
        <v>198</v>
      </c>
      <c r="B145" s="105">
        <v>256000</v>
      </c>
      <c r="C145" s="9">
        <v>171000</v>
      </c>
      <c r="D145" s="9">
        <v>12000</v>
      </c>
      <c r="E145" s="9">
        <v>34000</v>
      </c>
      <c r="F145" s="9">
        <v>11000</v>
      </c>
      <c r="G145" s="13" t="s">
        <v>222</v>
      </c>
      <c r="H145" s="9">
        <v>114000</v>
      </c>
      <c r="I145" s="9">
        <v>34000</v>
      </c>
      <c r="J145" s="9">
        <v>50000</v>
      </c>
    </row>
    <row r="146" spans="1:10" ht="36">
      <c r="A146" s="140" t="s">
        <v>199</v>
      </c>
      <c r="B146" s="132">
        <v>11000</v>
      </c>
      <c r="C146" s="25">
        <v>7000</v>
      </c>
      <c r="D146" s="26" t="s">
        <v>220</v>
      </c>
      <c r="E146" s="26" t="s">
        <v>191</v>
      </c>
      <c r="F146" s="26" t="s">
        <v>220</v>
      </c>
      <c r="G146" s="26" t="s">
        <v>220</v>
      </c>
      <c r="H146" s="25">
        <v>6000</v>
      </c>
      <c r="I146" s="26" t="s">
        <v>191</v>
      </c>
      <c r="J146" s="26" t="s">
        <v>191</v>
      </c>
    </row>
    <row r="147" spans="1:10">
      <c r="A147" s="140" t="s">
        <v>200</v>
      </c>
      <c r="B147" s="106">
        <v>30000</v>
      </c>
      <c r="C147" s="11">
        <v>17000</v>
      </c>
      <c r="D147" s="11">
        <v>3000</v>
      </c>
      <c r="E147" s="16" t="s">
        <v>191</v>
      </c>
      <c r="F147" s="16" t="s">
        <v>191</v>
      </c>
      <c r="G147" s="16" t="s">
        <v>220</v>
      </c>
      <c r="H147" s="11">
        <v>9000</v>
      </c>
      <c r="I147" s="11">
        <v>5000</v>
      </c>
      <c r="J147" s="11">
        <v>8000</v>
      </c>
    </row>
    <row r="148" spans="1:10" ht="24">
      <c r="A148" s="140" t="s">
        <v>201</v>
      </c>
      <c r="B148" s="132">
        <v>22000</v>
      </c>
      <c r="C148" s="25">
        <v>17000</v>
      </c>
      <c r="D148" s="26" t="s">
        <v>220</v>
      </c>
      <c r="E148" s="25">
        <v>1000</v>
      </c>
      <c r="F148" s="26" t="s">
        <v>220</v>
      </c>
      <c r="G148" s="26" t="s">
        <v>220</v>
      </c>
      <c r="H148" s="25">
        <v>16000</v>
      </c>
      <c r="I148" s="25">
        <v>1000</v>
      </c>
      <c r="J148" s="25">
        <v>3000</v>
      </c>
    </row>
    <row r="149" spans="1:10" ht="24">
      <c r="A149" s="140" t="s">
        <v>202</v>
      </c>
      <c r="B149" s="134">
        <v>79000</v>
      </c>
      <c r="C149" s="27">
        <v>54000</v>
      </c>
      <c r="D149" s="28" t="s">
        <v>222</v>
      </c>
      <c r="E149" s="27">
        <v>20000</v>
      </c>
      <c r="F149" s="27">
        <v>1000</v>
      </c>
      <c r="G149" s="28" t="s">
        <v>220</v>
      </c>
      <c r="H149" s="27">
        <v>32000</v>
      </c>
      <c r="I149" s="27">
        <v>13000</v>
      </c>
      <c r="J149" s="27">
        <v>12000</v>
      </c>
    </row>
    <row r="150" spans="1:10">
      <c r="A150" s="140" t="s">
        <v>203</v>
      </c>
      <c r="B150" s="106">
        <v>11000</v>
      </c>
      <c r="C150" s="11">
        <v>5000</v>
      </c>
      <c r="D150" s="16" t="s">
        <v>220</v>
      </c>
      <c r="E150" s="11">
        <v>4000</v>
      </c>
      <c r="F150" s="16" t="s">
        <v>220</v>
      </c>
      <c r="G150" s="16" t="s">
        <v>220</v>
      </c>
      <c r="H150" s="11">
        <v>2000</v>
      </c>
      <c r="I150" s="16" t="s">
        <v>191</v>
      </c>
      <c r="J150" s="11">
        <v>4000</v>
      </c>
    </row>
    <row r="151" spans="1:10">
      <c r="A151" s="140" t="s">
        <v>204</v>
      </c>
      <c r="B151" s="106">
        <v>29000</v>
      </c>
      <c r="C151" s="11">
        <v>21000</v>
      </c>
      <c r="D151" s="16" t="s">
        <v>191</v>
      </c>
      <c r="E151" s="11">
        <v>2000</v>
      </c>
      <c r="F151" s="16" t="s">
        <v>220</v>
      </c>
      <c r="G151" s="16" t="s">
        <v>220</v>
      </c>
      <c r="H151" s="11">
        <v>18000</v>
      </c>
      <c r="I151" s="11">
        <v>2000</v>
      </c>
      <c r="J151" s="11">
        <v>6000</v>
      </c>
    </row>
    <row r="152" spans="1:10">
      <c r="A152" s="140" t="s">
        <v>205</v>
      </c>
      <c r="B152" s="106">
        <v>75000</v>
      </c>
      <c r="C152" s="11">
        <v>51000</v>
      </c>
      <c r="D152" s="11">
        <v>7000</v>
      </c>
      <c r="E152" s="11">
        <v>6000</v>
      </c>
      <c r="F152" s="11">
        <v>5000</v>
      </c>
      <c r="G152" s="16" t="s">
        <v>220</v>
      </c>
      <c r="H152" s="11">
        <v>32000</v>
      </c>
      <c r="I152" s="11">
        <v>9000</v>
      </c>
      <c r="J152" s="11">
        <v>16000</v>
      </c>
    </row>
    <row r="153" spans="1:10">
      <c r="A153" s="150" t="s">
        <v>206</v>
      </c>
      <c r="B153" s="105">
        <v>304000</v>
      </c>
      <c r="C153" s="9">
        <v>51000</v>
      </c>
      <c r="D153" s="9">
        <v>31000</v>
      </c>
      <c r="E153" s="9">
        <v>8000</v>
      </c>
      <c r="F153" s="9">
        <v>2000</v>
      </c>
      <c r="G153" s="9">
        <v>6000</v>
      </c>
      <c r="H153" s="9">
        <v>4000</v>
      </c>
      <c r="I153" s="9">
        <v>192000</v>
      </c>
      <c r="J153" s="9">
        <v>61000</v>
      </c>
    </row>
    <row r="154" spans="1:10">
      <c r="A154" s="139" t="s">
        <v>207</v>
      </c>
      <c r="B154" s="105">
        <v>275000</v>
      </c>
      <c r="C154" s="9">
        <v>40000</v>
      </c>
      <c r="D154" s="9">
        <v>30000</v>
      </c>
      <c r="E154" s="9">
        <v>3000</v>
      </c>
      <c r="F154" s="9">
        <v>2000</v>
      </c>
      <c r="G154" s="9">
        <v>3000</v>
      </c>
      <c r="H154" s="13" t="s">
        <v>220</v>
      </c>
      <c r="I154" s="9">
        <v>189000</v>
      </c>
      <c r="J154" s="9">
        <v>46000</v>
      </c>
    </row>
    <row r="155" spans="1:10" ht="24">
      <c r="A155" s="139" t="s">
        <v>208</v>
      </c>
      <c r="B155" s="132">
        <v>14000</v>
      </c>
      <c r="C155" s="25">
        <v>5000</v>
      </c>
      <c r="D155" s="26" t="s">
        <v>220</v>
      </c>
      <c r="E155" s="25">
        <v>3000</v>
      </c>
      <c r="F155" s="26" t="s">
        <v>220</v>
      </c>
      <c r="G155" s="26" t="s">
        <v>191</v>
      </c>
      <c r="H155" s="26" t="s">
        <v>220</v>
      </c>
      <c r="I155" s="25">
        <v>1000</v>
      </c>
      <c r="J155" s="25">
        <v>8000</v>
      </c>
    </row>
    <row r="156" spans="1:10" ht="24">
      <c r="A156" s="139" t="s">
        <v>209</v>
      </c>
      <c r="B156" s="106">
        <v>9000</v>
      </c>
      <c r="C156" s="11">
        <v>5000</v>
      </c>
      <c r="D156" s="16" t="s">
        <v>220</v>
      </c>
      <c r="E156" s="16" t="s">
        <v>191</v>
      </c>
      <c r="F156" s="16" t="s">
        <v>220</v>
      </c>
      <c r="G156" s="16" t="s">
        <v>220</v>
      </c>
      <c r="H156" s="11">
        <v>3000</v>
      </c>
      <c r="I156" s="11">
        <v>2000</v>
      </c>
      <c r="J156" s="16" t="s">
        <v>191</v>
      </c>
    </row>
    <row r="157" spans="1:10">
      <c r="A157" s="139" t="s">
        <v>210</v>
      </c>
      <c r="B157" s="106">
        <v>7000</v>
      </c>
      <c r="C157" s="11">
        <v>2000</v>
      </c>
      <c r="D157" s="16" t="s">
        <v>220</v>
      </c>
      <c r="E157" s="16" t="s">
        <v>220</v>
      </c>
      <c r="F157" s="16" t="s">
        <v>220</v>
      </c>
      <c r="G157" s="11">
        <v>1000</v>
      </c>
      <c r="H157" s="16" t="s">
        <v>220</v>
      </c>
      <c r="I157" s="16" t="s">
        <v>220</v>
      </c>
      <c r="J157" s="11">
        <v>4000</v>
      </c>
    </row>
    <row r="158" spans="1:10">
      <c r="A158" s="138" t="s">
        <v>211</v>
      </c>
      <c r="B158" s="105">
        <v>534000</v>
      </c>
      <c r="C158" s="9">
        <v>50000</v>
      </c>
      <c r="D158" s="9">
        <v>4000</v>
      </c>
      <c r="E158" s="9">
        <v>10000</v>
      </c>
      <c r="F158" s="13" t="s">
        <v>222</v>
      </c>
      <c r="G158" s="9">
        <v>34000</v>
      </c>
      <c r="H158" s="9">
        <v>3000</v>
      </c>
      <c r="I158" s="9">
        <v>25000</v>
      </c>
      <c r="J158" s="9">
        <v>459000</v>
      </c>
    </row>
    <row r="159" spans="1:10" ht="24">
      <c r="A159" s="139" t="s">
        <v>212</v>
      </c>
      <c r="B159" s="132">
        <v>56000</v>
      </c>
      <c r="C159" s="25">
        <v>6000</v>
      </c>
      <c r="D159" s="26" t="s">
        <v>220</v>
      </c>
      <c r="E159" s="25">
        <v>2000</v>
      </c>
      <c r="F159" s="26" t="s">
        <v>220</v>
      </c>
      <c r="G159" s="26" t="s">
        <v>191</v>
      </c>
      <c r="H159" s="26" t="s">
        <v>191</v>
      </c>
      <c r="I159" s="26" t="s">
        <v>220</v>
      </c>
      <c r="J159" s="25">
        <v>48000</v>
      </c>
    </row>
    <row r="160" spans="1:10" ht="36">
      <c r="A160" s="139" t="s">
        <v>213</v>
      </c>
      <c r="B160" s="132">
        <v>171000</v>
      </c>
      <c r="C160" s="25">
        <v>9000</v>
      </c>
      <c r="D160" s="26" t="s">
        <v>220</v>
      </c>
      <c r="E160" s="25">
        <v>3000</v>
      </c>
      <c r="F160" s="26" t="s">
        <v>220</v>
      </c>
      <c r="G160" s="25">
        <v>5000</v>
      </c>
      <c r="H160" s="26" t="s">
        <v>220</v>
      </c>
      <c r="I160" s="25">
        <v>17000</v>
      </c>
      <c r="J160" s="25">
        <v>145000</v>
      </c>
    </row>
    <row r="161" spans="1:11" ht="24">
      <c r="A161" s="139" t="s">
        <v>214</v>
      </c>
      <c r="B161" s="106">
        <v>83000</v>
      </c>
      <c r="C161" s="11">
        <v>13000</v>
      </c>
      <c r="D161" s="16" t="s">
        <v>220</v>
      </c>
      <c r="E161" s="16" t="s">
        <v>220</v>
      </c>
      <c r="F161" s="16" t="s">
        <v>220</v>
      </c>
      <c r="G161" s="11">
        <v>12000</v>
      </c>
      <c r="H161" s="16" t="s">
        <v>220</v>
      </c>
      <c r="I161" s="16" t="s">
        <v>191</v>
      </c>
      <c r="J161" s="11">
        <v>68000</v>
      </c>
    </row>
    <row r="162" spans="1:11">
      <c r="A162" s="139" t="s">
        <v>215</v>
      </c>
      <c r="B162" s="106">
        <v>4000</v>
      </c>
      <c r="C162" s="16" t="s">
        <v>220</v>
      </c>
      <c r="D162" s="16" t="s">
        <v>220</v>
      </c>
      <c r="E162" s="16" t="s">
        <v>220</v>
      </c>
      <c r="F162" s="16" t="s">
        <v>220</v>
      </c>
      <c r="G162" s="16" t="s">
        <v>220</v>
      </c>
      <c r="H162" s="16" t="s">
        <v>220</v>
      </c>
      <c r="I162" s="16" t="s">
        <v>220</v>
      </c>
      <c r="J162" s="11">
        <v>4000</v>
      </c>
    </row>
    <row r="163" spans="1:11">
      <c r="A163" s="139" t="s">
        <v>216</v>
      </c>
      <c r="B163" s="106">
        <v>160000</v>
      </c>
      <c r="C163" s="11">
        <v>5000</v>
      </c>
      <c r="D163" s="16" t="s">
        <v>220</v>
      </c>
      <c r="E163" s="11">
        <v>2000</v>
      </c>
      <c r="F163" s="16" t="s">
        <v>220</v>
      </c>
      <c r="G163" s="11">
        <v>1000</v>
      </c>
      <c r="H163" s="16" t="s">
        <v>220</v>
      </c>
      <c r="I163" s="11">
        <v>1000</v>
      </c>
      <c r="J163" s="11">
        <v>155000</v>
      </c>
    </row>
    <row r="164" spans="1:11">
      <c r="A164" s="139" t="s">
        <v>217</v>
      </c>
      <c r="B164" s="106">
        <v>60000</v>
      </c>
      <c r="C164" s="11">
        <v>18000</v>
      </c>
      <c r="D164" s="11">
        <v>3000</v>
      </c>
      <c r="E164" s="16" t="s">
        <v>191</v>
      </c>
      <c r="F164" s="16" t="s">
        <v>220</v>
      </c>
      <c r="G164" s="11">
        <v>13000</v>
      </c>
      <c r="H164" s="16" t="s">
        <v>220</v>
      </c>
      <c r="I164" s="16" t="s">
        <v>191</v>
      </c>
      <c r="J164" s="11">
        <v>38000</v>
      </c>
    </row>
    <row r="165" spans="1:11">
      <c r="A165" s="111" t="s">
        <v>223</v>
      </c>
      <c r="B165" s="109">
        <v>3246000</v>
      </c>
      <c r="C165" s="104">
        <v>82000</v>
      </c>
      <c r="D165" s="104">
        <v>20000</v>
      </c>
      <c r="E165" s="104">
        <v>22000</v>
      </c>
      <c r="F165" s="104">
        <v>1000</v>
      </c>
      <c r="G165" s="104">
        <v>38000</v>
      </c>
      <c r="H165" s="152" t="s">
        <v>191</v>
      </c>
      <c r="I165" s="104">
        <v>1538000</v>
      </c>
      <c r="J165" s="104">
        <v>1626000</v>
      </c>
    </row>
    <row r="166" spans="1:11">
      <c r="A166" s="112" t="s">
        <v>178</v>
      </c>
      <c r="B166" s="105">
        <v>49000</v>
      </c>
      <c r="C166" s="9">
        <v>28000</v>
      </c>
      <c r="D166" s="13" t="s">
        <v>220</v>
      </c>
      <c r="E166" s="13" t="s">
        <v>220</v>
      </c>
      <c r="F166" s="13" t="s">
        <v>220</v>
      </c>
      <c r="G166" s="9">
        <v>28000</v>
      </c>
      <c r="H166" s="13" t="s">
        <v>220</v>
      </c>
      <c r="I166" s="13" t="s">
        <v>191</v>
      </c>
      <c r="J166" s="9">
        <v>16000</v>
      </c>
    </row>
    <row r="167" spans="1:11">
      <c r="A167" s="151" t="s">
        <v>206</v>
      </c>
      <c r="B167" s="105">
        <v>1616000</v>
      </c>
      <c r="C167" s="9">
        <v>29000</v>
      </c>
      <c r="D167" s="9">
        <v>20000</v>
      </c>
      <c r="E167" s="9">
        <v>8000</v>
      </c>
      <c r="F167" s="13" t="s">
        <v>220</v>
      </c>
      <c r="G167" s="13" t="s">
        <v>220</v>
      </c>
      <c r="H167" s="13" t="s">
        <v>220</v>
      </c>
      <c r="I167" s="9">
        <v>1506000</v>
      </c>
      <c r="J167" s="9">
        <v>82000</v>
      </c>
    </row>
    <row r="168" spans="1:11">
      <c r="A168" s="112" t="s">
        <v>211</v>
      </c>
      <c r="B168" s="110">
        <v>1582000</v>
      </c>
      <c r="C168" s="21">
        <v>25000</v>
      </c>
      <c r="D168" s="40" t="s">
        <v>220</v>
      </c>
      <c r="E168" s="21">
        <v>13000</v>
      </c>
      <c r="F168" s="21">
        <v>1000</v>
      </c>
      <c r="G168" s="40" t="s">
        <v>191</v>
      </c>
      <c r="H168" s="40" t="s">
        <v>191</v>
      </c>
      <c r="I168" s="21">
        <v>28000</v>
      </c>
      <c r="J168" s="21">
        <v>1528000</v>
      </c>
    </row>
    <row r="169" spans="1:11">
      <c r="A169" s="313" t="s">
        <v>224</v>
      </c>
      <c r="B169" s="313"/>
      <c r="C169" s="313"/>
      <c r="D169" s="313"/>
      <c r="E169" s="313"/>
      <c r="F169" s="313"/>
      <c r="G169" s="313"/>
      <c r="H169" s="313"/>
      <c r="I169" s="313"/>
      <c r="J169" s="313"/>
      <c r="K169" s="313"/>
    </row>
    <row r="170" spans="1:11" ht="13.2" customHeight="1">
      <c r="A170" s="338" t="s">
        <v>233</v>
      </c>
      <c r="B170" s="338"/>
      <c r="C170" s="338"/>
      <c r="D170" s="338"/>
      <c r="E170" s="338"/>
      <c r="F170" s="338"/>
      <c r="G170" s="338"/>
      <c r="H170" s="338"/>
      <c r="I170" s="338"/>
      <c r="J170" s="338"/>
      <c r="K170" s="338"/>
    </row>
    <row r="171" spans="1:11">
      <c r="A171" s="338"/>
      <c r="B171" s="338"/>
      <c r="C171" s="338"/>
      <c r="D171" s="338"/>
      <c r="E171" s="338"/>
      <c r="F171" s="338"/>
      <c r="G171" s="338"/>
      <c r="H171" s="338"/>
      <c r="I171" s="338"/>
      <c r="J171" s="338"/>
      <c r="K171" s="338"/>
    </row>
    <row r="172" spans="1:11">
      <c r="A172" s="338"/>
      <c r="B172" s="338"/>
      <c r="C172" s="338"/>
      <c r="D172" s="338"/>
      <c r="E172" s="338"/>
      <c r="F172" s="338"/>
      <c r="G172" s="338"/>
      <c r="H172" s="338"/>
      <c r="I172" s="338"/>
      <c r="J172" s="338"/>
      <c r="K172" s="338"/>
    </row>
    <row r="173" spans="1:11">
      <c r="A173" s="338"/>
      <c r="B173" s="338"/>
      <c r="C173" s="338"/>
      <c r="D173" s="338"/>
      <c r="E173" s="338"/>
      <c r="F173" s="338"/>
      <c r="G173" s="338"/>
      <c r="H173" s="338"/>
      <c r="I173" s="338"/>
      <c r="J173" s="338"/>
      <c r="K173" s="338"/>
    </row>
    <row r="174" spans="1:11">
      <c r="A174" s="338"/>
      <c r="B174" s="338"/>
      <c r="C174" s="338"/>
      <c r="D174" s="338"/>
      <c r="E174" s="338"/>
      <c r="F174" s="338"/>
      <c r="G174" s="338"/>
      <c r="H174" s="338"/>
      <c r="I174" s="338"/>
      <c r="J174" s="338"/>
      <c r="K174" s="338"/>
    </row>
    <row r="175" spans="1:11">
      <c r="A175" s="338"/>
      <c r="B175" s="338"/>
      <c r="C175" s="338"/>
      <c r="D175" s="338"/>
      <c r="E175" s="338"/>
      <c r="F175" s="338"/>
      <c r="G175" s="338"/>
      <c r="H175" s="338"/>
      <c r="I175" s="338"/>
      <c r="J175" s="338"/>
      <c r="K175" s="338"/>
    </row>
    <row r="176" spans="1:11">
      <c r="A176" s="338"/>
      <c r="B176" s="338"/>
      <c r="C176" s="338"/>
      <c r="D176" s="338"/>
      <c r="E176" s="338"/>
      <c r="F176" s="338"/>
      <c r="G176" s="338"/>
      <c r="H176" s="338"/>
      <c r="I176" s="338"/>
      <c r="J176" s="338"/>
      <c r="K176" s="338"/>
    </row>
  </sheetData>
  <mergeCells count="8">
    <mergeCell ref="A169:K169"/>
    <mergeCell ref="A170:K176"/>
    <mergeCell ref="A1:K1"/>
    <mergeCell ref="A3:A4"/>
    <mergeCell ref="B3:B4"/>
    <mergeCell ref="C3:H3"/>
    <mergeCell ref="I3:I4"/>
    <mergeCell ref="J3:J4"/>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9"/>
  <sheetViews>
    <sheetView topLeftCell="A17" workbookViewId="0">
      <selection activeCell="A5" sqref="A5:J29"/>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36.75" customHeight="1">
      <c r="A5" s="131" t="s">
        <v>202</v>
      </c>
      <c r="B5" s="134">
        <v>1409000</v>
      </c>
      <c r="C5" s="27">
        <v>885000</v>
      </c>
      <c r="D5" s="27">
        <v>2000</v>
      </c>
      <c r="E5" s="27">
        <v>504000</v>
      </c>
      <c r="F5" s="27">
        <v>4000</v>
      </c>
      <c r="G5" s="28" t="s">
        <v>191</v>
      </c>
      <c r="H5" s="27">
        <v>372000</v>
      </c>
      <c r="I5" s="27">
        <v>245000</v>
      </c>
      <c r="J5" s="27">
        <v>278000</v>
      </c>
    </row>
    <row r="6" spans="1:11" ht="24.75" customHeight="1">
      <c r="A6" s="131" t="s">
        <v>203</v>
      </c>
      <c r="B6" s="106">
        <v>230000</v>
      </c>
      <c r="C6" s="11">
        <v>82000</v>
      </c>
      <c r="D6" s="16" t="s">
        <v>220</v>
      </c>
      <c r="E6" s="11">
        <v>28000</v>
      </c>
      <c r="F6" s="16" t="s">
        <v>220</v>
      </c>
      <c r="G6" s="16" t="s">
        <v>220</v>
      </c>
      <c r="H6" s="11">
        <v>53000</v>
      </c>
      <c r="I6" s="11">
        <v>41000</v>
      </c>
      <c r="J6" s="11">
        <v>107000</v>
      </c>
    </row>
    <row r="7" spans="1:11" ht="24.75" customHeight="1">
      <c r="A7" s="131" t="s">
        <v>204</v>
      </c>
      <c r="B7" s="106">
        <v>848000</v>
      </c>
      <c r="C7" s="11">
        <v>500000</v>
      </c>
      <c r="D7" s="16" t="s">
        <v>191</v>
      </c>
      <c r="E7" s="11">
        <v>62000</v>
      </c>
      <c r="F7" s="11">
        <v>1000</v>
      </c>
      <c r="G7" s="16" t="s">
        <v>220</v>
      </c>
      <c r="H7" s="11">
        <v>434000</v>
      </c>
      <c r="I7" s="11">
        <v>110000</v>
      </c>
      <c r="J7" s="11">
        <v>238000</v>
      </c>
    </row>
    <row r="8" spans="1:11" ht="12.45" customHeight="1">
      <c r="A8" s="131" t="s">
        <v>205</v>
      </c>
      <c r="B8" s="105">
        <v>567000</v>
      </c>
      <c r="C8" s="9">
        <v>283000</v>
      </c>
      <c r="D8" s="9">
        <v>20000</v>
      </c>
      <c r="E8" s="9">
        <v>39000</v>
      </c>
      <c r="F8" s="9">
        <v>13000</v>
      </c>
      <c r="G8" s="13" t="s">
        <v>220</v>
      </c>
      <c r="H8" s="9">
        <v>211000</v>
      </c>
      <c r="I8" s="9">
        <v>93000</v>
      </c>
      <c r="J8" s="9">
        <v>191000</v>
      </c>
    </row>
    <row r="9" spans="1:11" ht="12.45" customHeight="1">
      <c r="A9" s="129" t="s">
        <v>206</v>
      </c>
      <c r="B9" s="105">
        <v>7822000</v>
      </c>
      <c r="C9" s="9">
        <v>439000</v>
      </c>
      <c r="D9" s="9">
        <v>99000</v>
      </c>
      <c r="E9" s="9">
        <v>189000</v>
      </c>
      <c r="F9" s="9">
        <v>14000</v>
      </c>
      <c r="G9" s="9">
        <v>52000</v>
      </c>
      <c r="H9" s="9">
        <v>86000</v>
      </c>
      <c r="I9" s="9">
        <v>5519000</v>
      </c>
      <c r="J9" s="9">
        <v>1863000</v>
      </c>
    </row>
    <row r="10" spans="1:11" ht="12.45" customHeight="1">
      <c r="A10" s="130" t="s">
        <v>207</v>
      </c>
      <c r="B10" s="105">
        <v>6364000</v>
      </c>
      <c r="C10" s="9">
        <v>190000</v>
      </c>
      <c r="D10" s="9">
        <v>92000</v>
      </c>
      <c r="E10" s="9">
        <v>55000</v>
      </c>
      <c r="F10" s="9">
        <v>10000</v>
      </c>
      <c r="G10" s="9">
        <v>27000</v>
      </c>
      <c r="H10" s="9">
        <v>7000</v>
      </c>
      <c r="I10" s="9">
        <v>4983000</v>
      </c>
      <c r="J10" s="9">
        <v>1191000</v>
      </c>
    </row>
    <row r="11" spans="1:11" ht="36.75" customHeight="1">
      <c r="A11" s="130" t="s">
        <v>208</v>
      </c>
      <c r="B11" s="132">
        <v>429000</v>
      </c>
      <c r="C11" s="25">
        <v>30000</v>
      </c>
      <c r="D11" s="25">
        <v>4000</v>
      </c>
      <c r="E11" s="25">
        <v>15000</v>
      </c>
      <c r="F11" s="25">
        <v>2000</v>
      </c>
      <c r="G11" s="26" t="s">
        <v>191</v>
      </c>
      <c r="H11" s="26" t="s">
        <v>191</v>
      </c>
      <c r="I11" s="25">
        <v>223000</v>
      </c>
      <c r="J11" s="25">
        <v>175000</v>
      </c>
    </row>
    <row r="12" spans="1:11" ht="24.75" customHeight="1">
      <c r="A12" s="130" t="s">
        <v>209</v>
      </c>
      <c r="B12" s="106">
        <v>488000</v>
      </c>
      <c r="C12" s="11">
        <v>170000</v>
      </c>
      <c r="D12" s="16" t="s">
        <v>222</v>
      </c>
      <c r="E12" s="11">
        <v>106000</v>
      </c>
      <c r="F12" s="11">
        <v>1000</v>
      </c>
      <c r="G12" s="16" t="s">
        <v>191</v>
      </c>
      <c r="H12" s="11">
        <v>62000</v>
      </c>
      <c r="I12" s="11">
        <v>92000</v>
      </c>
      <c r="J12" s="11">
        <v>226000</v>
      </c>
    </row>
    <row r="13" spans="1:11" ht="24.75" customHeight="1">
      <c r="A13" s="130" t="s">
        <v>210</v>
      </c>
      <c r="B13" s="106">
        <v>541000</v>
      </c>
      <c r="C13" s="11">
        <v>48000</v>
      </c>
      <c r="D13" s="16" t="s">
        <v>191</v>
      </c>
      <c r="E13" s="11">
        <v>12000</v>
      </c>
      <c r="F13" s="16" t="s">
        <v>191</v>
      </c>
      <c r="G13" s="11">
        <v>16000</v>
      </c>
      <c r="H13" s="11">
        <v>16000</v>
      </c>
      <c r="I13" s="11">
        <v>221000</v>
      </c>
      <c r="J13" s="11">
        <v>271000</v>
      </c>
    </row>
    <row r="14" spans="1:11" ht="12.45" customHeight="1">
      <c r="A14" s="129" t="s">
        <v>211</v>
      </c>
      <c r="B14" s="105">
        <v>27535000</v>
      </c>
      <c r="C14" s="9">
        <v>1396000</v>
      </c>
      <c r="D14" s="9">
        <v>44000</v>
      </c>
      <c r="E14" s="9">
        <v>995000</v>
      </c>
      <c r="F14" s="9">
        <v>21000</v>
      </c>
      <c r="G14" s="9">
        <v>160000</v>
      </c>
      <c r="H14" s="9">
        <v>177000</v>
      </c>
      <c r="I14" s="9">
        <v>1597000</v>
      </c>
      <c r="J14" s="9">
        <v>24541000</v>
      </c>
    </row>
    <row r="15" spans="1:11" ht="36.75" customHeight="1">
      <c r="A15" s="130" t="s">
        <v>212</v>
      </c>
      <c r="B15" s="132">
        <v>9480000</v>
      </c>
      <c r="C15" s="25">
        <v>647000</v>
      </c>
      <c r="D15" s="25">
        <v>10000</v>
      </c>
      <c r="E15" s="25">
        <v>478000</v>
      </c>
      <c r="F15" s="25">
        <v>4000</v>
      </c>
      <c r="G15" s="25">
        <v>24000</v>
      </c>
      <c r="H15" s="25">
        <v>131000</v>
      </c>
      <c r="I15" s="25">
        <v>527000</v>
      </c>
      <c r="J15" s="25">
        <v>8305000</v>
      </c>
    </row>
    <row r="16" spans="1:11" ht="36.75" customHeight="1">
      <c r="A16" s="130" t="s">
        <v>213</v>
      </c>
      <c r="B16" s="132">
        <v>5019000</v>
      </c>
      <c r="C16" s="25">
        <v>94000</v>
      </c>
      <c r="D16" s="25">
        <v>2000</v>
      </c>
      <c r="E16" s="25">
        <v>62000</v>
      </c>
      <c r="F16" s="26" t="s">
        <v>191</v>
      </c>
      <c r="G16" s="25">
        <v>22000</v>
      </c>
      <c r="H16" s="25">
        <v>6000</v>
      </c>
      <c r="I16" s="25">
        <v>441000</v>
      </c>
      <c r="J16" s="25">
        <v>4484000</v>
      </c>
    </row>
    <row r="17" spans="1:10" ht="24.75" customHeight="1">
      <c r="A17" s="130" t="s">
        <v>214</v>
      </c>
      <c r="B17" s="106">
        <v>1466000</v>
      </c>
      <c r="C17" s="11">
        <v>77000</v>
      </c>
      <c r="D17" s="16" t="s">
        <v>220</v>
      </c>
      <c r="E17" s="11">
        <v>38000</v>
      </c>
      <c r="F17" s="16" t="s">
        <v>220</v>
      </c>
      <c r="G17" s="11">
        <v>35000</v>
      </c>
      <c r="H17" s="11">
        <v>4000</v>
      </c>
      <c r="I17" s="11">
        <v>65000</v>
      </c>
      <c r="J17" s="11">
        <v>1324000</v>
      </c>
    </row>
    <row r="18" spans="1:10" ht="24.75" customHeight="1">
      <c r="A18" s="130" t="s">
        <v>215</v>
      </c>
      <c r="B18" s="106">
        <v>1293000</v>
      </c>
      <c r="C18" s="11">
        <v>61000</v>
      </c>
      <c r="D18" s="16" t="s">
        <v>220</v>
      </c>
      <c r="E18" s="11">
        <v>52000</v>
      </c>
      <c r="F18" s="16" t="s">
        <v>220</v>
      </c>
      <c r="G18" s="16" t="s">
        <v>191</v>
      </c>
      <c r="H18" s="11">
        <v>7000</v>
      </c>
      <c r="I18" s="11">
        <v>62000</v>
      </c>
      <c r="J18" s="11">
        <v>1169000</v>
      </c>
    </row>
    <row r="19" spans="1:10" ht="24.75" customHeight="1">
      <c r="A19" s="130" t="s">
        <v>216</v>
      </c>
      <c r="B19" s="106">
        <v>4526000</v>
      </c>
      <c r="C19" s="11">
        <v>273000</v>
      </c>
      <c r="D19" s="11">
        <v>2000</v>
      </c>
      <c r="E19" s="11">
        <v>234000</v>
      </c>
      <c r="F19" s="16" t="s">
        <v>191</v>
      </c>
      <c r="G19" s="11">
        <v>20000</v>
      </c>
      <c r="H19" s="11">
        <v>13000</v>
      </c>
      <c r="I19" s="11">
        <v>299000</v>
      </c>
      <c r="J19" s="11">
        <v>3954000</v>
      </c>
    </row>
    <row r="20" spans="1:10" ht="24.75" customHeight="1">
      <c r="A20" s="130" t="s">
        <v>217</v>
      </c>
      <c r="B20" s="106">
        <v>5752000</v>
      </c>
      <c r="C20" s="11">
        <v>244000</v>
      </c>
      <c r="D20" s="11">
        <v>30000</v>
      </c>
      <c r="E20" s="11">
        <v>131000</v>
      </c>
      <c r="F20" s="11">
        <v>11000</v>
      </c>
      <c r="G20" s="11">
        <v>57000</v>
      </c>
      <c r="H20" s="11">
        <v>16000</v>
      </c>
      <c r="I20" s="11">
        <v>203000</v>
      </c>
      <c r="J20" s="11">
        <v>5305000</v>
      </c>
    </row>
    <row r="21" spans="1:10" ht="12.45" customHeight="1">
      <c r="A21" s="125" t="s">
        <v>218</v>
      </c>
      <c r="B21" s="124">
        <v>31688000</v>
      </c>
      <c r="C21" s="119">
        <v>4438000</v>
      </c>
      <c r="D21" s="119">
        <v>295000</v>
      </c>
      <c r="E21" s="119">
        <v>2574000</v>
      </c>
      <c r="F21" s="119">
        <v>177000</v>
      </c>
      <c r="G21" s="119">
        <v>170000</v>
      </c>
      <c r="H21" s="119">
        <v>1222000</v>
      </c>
      <c r="I21" s="119">
        <v>5031000</v>
      </c>
      <c r="J21" s="119">
        <v>22219000</v>
      </c>
    </row>
    <row r="22" spans="1:10" ht="12.45" customHeight="1">
      <c r="A22" s="120" t="s">
        <v>178</v>
      </c>
      <c r="B22" s="105">
        <v>11377000</v>
      </c>
      <c r="C22" s="9">
        <v>3499000</v>
      </c>
      <c r="D22" s="9">
        <v>257000</v>
      </c>
      <c r="E22" s="9">
        <v>1866000</v>
      </c>
      <c r="F22" s="9">
        <v>162000</v>
      </c>
      <c r="G22" s="9">
        <v>116000</v>
      </c>
      <c r="H22" s="9">
        <v>1097000</v>
      </c>
      <c r="I22" s="9">
        <v>1692000</v>
      </c>
      <c r="J22" s="9">
        <v>6187000</v>
      </c>
    </row>
    <row r="23" spans="1:10" ht="49.5" customHeight="1">
      <c r="A23" s="121" t="s">
        <v>179</v>
      </c>
      <c r="B23" s="132">
        <v>1773000</v>
      </c>
      <c r="C23" s="25">
        <v>371000</v>
      </c>
      <c r="D23" s="25">
        <v>212000</v>
      </c>
      <c r="E23" s="25">
        <v>75000</v>
      </c>
      <c r="F23" s="25">
        <v>51000</v>
      </c>
      <c r="G23" s="25">
        <v>10000</v>
      </c>
      <c r="H23" s="25">
        <v>22000</v>
      </c>
      <c r="I23" s="25">
        <v>489000</v>
      </c>
      <c r="J23" s="25">
        <v>913000</v>
      </c>
    </row>
    <row r="24" spans="1:10" ht="24.75" customHeight="1">
      <c r="A24" s="122" t="s">
        <v>180</v>
      </c>
      <c r="B24" s="106">
        <v>239000</v>
      </c>
      <c r="C24" s="11">
        <v>39000</v>
      </c>
      <c r="D24" s="11">
        <v>29000</v>
      </c>
      <c r="E24" s="16" t="s">
        <v>191</v>
      </c>
      <c r="F24" s="16" t="s">
        <v>191</v>
      </c>
      <c r="G24" s="16" t="s">
        <v>220</v>
      </c>
      <c r="H24" s="16" t="s">
        <v>191</v>
      </c>
      <c r="I24" s="11">
        <v>33000</v>
      </c>
      <c r="J24" s="11">
        <v>167000</v>
      </c>
    </row>
    <row r="25" spans="1:10" ht="24.75" customHeight="1">
      <c r="A25" s="122" t="s">
        <v>181</v>
      </c>
      <c r="B25" s="106">
        <v>1301000</v>
      </c>
      <c r="C25" s="11">
        <v>281000</v>
      </c>
      <c r="D25" s="11">
        <v>163000</v>
      </c>
      <c r="E25" s="11">
        <v>64000</v>
      </c>
      <c r="F25" s="11">
        <v>34000</v>
      </c>
      <c r="G25" s="11">
        <v>8000</v>
      </c>
      <c r="H25" s="11">
        <v>12000</v>
      </c>
      <c r="I25" s="11">
        <v>433000</v>
      </c>
      <c r="J25" s="11">
        <v>587000</v>
      </c>
    </row>
    <row r="26" spans="1:10" ht="24.75" customHeight="1">
      <c r="A26" s="122" t="s">
        <v>182</v>
      </c>
      <c r="B26" s="106">
        <v>232000</v>
      </c>
      <c r="C26" s="11">
        <v>51000</v>
      </c>
      <c r="D26" s="11">
        <v>20000</v>
      </c>
      <c r="E26" s="11">
        <v>7000</v>
      </c>
      <c r="F26" s="11">
        <v>15000</v>
      </c>
      <c r="G26" s="16" t="s">
        <v>191</v>
      </c>
      <c r="H26" s="11">
        <v>7000</v>
      </c>
      <c r="I26" s="11">
        <v>23000</v>
      </c>
      <c r="J26" s="11">
        <v>159000</v>
      </c>
    </row>
    <row r="27" spans="1:10" ht="36.75" customHeight="1">
      <c r="A27" s="121" t="s">
        <v>183</v>
      </c>
      <c r="B27" s="132">
        <v>2133000</v>
      </c>
      <c r="C27" s="25">
        <v>1137000</v>
      </c>
      <c r="D27" s="26" t="s">
        <v>220</v>
      </c>
      <c r="E27" s="25">
        <v>1096000</v>
      </c>
      <c r="F27" s="25">
        <v>1000</v>
      </c>
      <c r="G27" s="26" t="s">
        <v>191</v>
      </c>
      <c r="H27" s="25">
        <v>35000</v>
      </c>
      <c r="I27" s="25">
        <v>321000</v>
      </c>
      <c r="J27" s="25">
        <v>675000</v>
      </c>
    </row>
    <row r="28" spans="1:10" ht="36.75" customHeight="1">
      <c r="A28" s="122" t="s">
        <v>184</v>
      </c>
      <c r="B28" s="132">
        <v>1694000</v>
      </c>
      <c r="C28" s="25">
        <v>1024000</v>
      </c>
      <c r="D28" s="26" t="s">
        <v>220</v>
      </c>
      <c r="E28" s="25">
        <v>996000</v>
      </c>
      <c r="F28" s="26" t="s">
        <v>220</v>
      </c>
      <c r="G28" s="26" t="s">
        <v>191</v>
      </c>
      <c r="H28" s="25">
        <v>26000</v>
      </c>
      <c r="I28" s="25">
        <v>214000</v>
      </c>
      <c r="J28" s="25">
        <v>456000</v>
      </c>
    </row>
    <row r="29" spans="1:10" ht="24.75" customHeight="1">
      <c r="A29" s="122" t="s">
        <v>185</v>
      </c>
      <c r="B29" s="106">
        <v>440000</v>
      </c>
      <c r="C29" s="11">
        <v>113000</v>
      </c>
      <c r="D29" s="16" t="s">
        <v>220</v>
      </c>
      <c r="E29" s="11">
        <v>100000</v>
      </c>
      <c r="F29" s="16" t="s">
        <v>222</v>
      </c>
      <c r="G29" s="16" t="s">
        <v>191</v>
      </c>
      <c r="H29" s="11">
        <v>8000</v>
      </c>
      <c r="I29" s="11">
        <v>107000</v>
      </c>
      <c r="J29" s="11">
        <v>219000</v>
      </c>
    </row>
  </sheetData>
  <mergeCells count="6">
    <mergeCell ref="A1:K1"/>
    <mergeCell ref="A3:A4"/>
    <mergeCell ref="B3:B4"/>
    <mergeCell ref="C3:H3"/>
    <mergeCell ref="I3:I4"/>
    <mergeCell ref="J3:J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9"/>
  <sheetViews>
    <sheetView topLeftCell="A18" workbookViewId="0">
      <selection activeCell="A5" sqref="A5:J29"/>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24.75" customHeight="1">
      <c r="A5" s="121" t="s">
        <v>186</v>
      </c>
      <c r="B5" s="142">
        <v>517000</v>
      </c>
      <c r="C5" s="29">
        <v>199000</v>
      </c>
      <c r="D5" s="29">
        <v>26000</v>
      </c>
      <c r="E5" s="29">
        <v>45000</v>
      </c>
      <c r="F5" s="29">
        <v>96000</v>
      </c>
      <c r="G5" s="29">
        <v>2000</v>
      </c>
      <c r="H5" s="29">
        <v>30000</v>
      </c>
      <c r="I5" s="29">
        <v>99000</v>
      </c>
      <c r="J5" s="29">
        <v>218000</v>
      </c>
    </row>
    <row r="6" spans="1:11" ht="36.75" customHeight="1">
      <c r="A6" s="122" t="s">
        <v>187</v>
      </c>
      <c r="B6" s="132">
        <v>221000</v>
      </c>
      <c r="C6" s="25">
        <v>93000</v>
      </c>
      <c r="D6" s="25">
        <v>20000</v>
      </c>
      <c r="E6" s="25">
        <v>18000</v>
      </c>
      <c r="F6" s="25">
        <v>41000</v>
      </c>
      <c r="G6" s="25">
        <v>2000</v>
      </c>
      <c r="H6" s="25">
        <v>12000</v>
      </c>
      <c r="I6" s="25">
        <v>55000</v>
      </c>
      <c r="J6" s="25">
        <v>73000</v>
      </c>
    </row>
    <row r="7" spans="1:11" ht="49.5" customHeight="1">
      <c r="A7" s="122" t="s">
        <v>188</v>
      </c>
      <c r="B7" s="132">
        <v>172000</v>
      </c>
      <c r="C7" s="25">
        <v>54000</v>
      </c>
      <c r="D7" s="26" t="s">
        <v>191</v>
      </c>
      <c r="E7" s="25">
        <v>8000</v>
      </c>
      <c r="F7" s="25">
        <v>36000</v>
      </c>
      <c r="G7" s="26" t="s">
        <v>220</v>
      </c>
      <c r="H7" s="25">
        <v>7000</v>
      </c>
      <c r="I7" s="25">
        <v>24000</v>
      </c>
      <c r="J7" s="25">
        <v>94000</v>
      </c>
    </row>
    <row r="8" spans="1:11" ht="24.75" customHeight="1">
      <c r="A8" s="122" t="s">
        <v>189</v>
      </c>
      <c r="B8" s="106">
        <v>106000</v>
      </c>
      <c r="C8" s="11">
        <v>49000</v>
      </c>
      <c r="D8" s="11">
        <v>2000</v>
      </c>
      <c r="E8" s="11">
        <v>19000</v>
      </c>
      <c r="F8" s="11">
        <v>18000</v>
      </c>
      <c r="G8" s="16" t="s">
        <v>220</v>
      </c>
      <c r="H8" s="11">
        <v>11000</v>
      </c>
      <c r="I8" s="11">
        <v>16000</v>
      </c>
      <c r="J8" s="11">
        <v>40000</v>
      </c>
    </row>
    <row r="9" spans="1:11" ht="24.75" customHeight="1">
      <c r="A9" s="122" t="s">
        <v>190</v>
      </c>
      <c r="B9" s="106">
        <v>17000</v>
      </c>
      <c r="C9" s="16" t="s">
        <v>191</v>
      </c>
      <c r="D9" s="16" t="s">
        <v>220</v>
      </c>
      <c r="E9" s="16" t="s">
        <v>220</v>
      </c>
      <c r="F9" s="16" t="s">
        <v>220</v>
      </c>
      <c r="G9" s="16" t="s">
        <v>220</v>
      </c>
      <c r="H9" s="16" t="s">
        <v>220</v>
      </c>
      <c r="I9" s="11">
        <v>4000</v>
      </c>
      <c r="J9" s="11">
        <v>11000</v>
      </c>
    </row>
    <row r="10" spans="1:11" ht="24.75" customHeight="1">
      <c r="A10" s="121" t="s">
        <v>192</v>
      </c>
      <c r="B10" s="106">
        <v>4229000</v>
      </c>
      <c r="C10" s="11">
        <v>321000</v>
      </c>
      <c r="D10" s="11">
        <v>11000</v>
      </c>
      <c r="E10" s="11">
        <v>188000</v>
      </c>
      <c r="F10" s="11">
        <v>7000</v>
      </c>
      <c r="G10" s="11">
        <v>95000</v>
      </c>
      <c r="H10" s="11">
        <v>21000</v>
      </c>
      <c r="I10" s="11">
        <v>353000</v>
      </c>
      <c r="J10" s="11">
        <v>3554000</v>
      </c>
    </row>
    <row r="11" spans="1:11" ht="12.45" customHeight="1">
      <c r="A11" s="122" t="s">
        <v>193</v>
      </c>
      <c r="B11" s="105">
        <v>714000</v>
      </c>
      <c r="C11" s="9">
        <v>67000</v>
      </c>
      <c r="D11" s="13" t="s">
        <v>222</v>
      </c>
      <c r="E11" s="9">
        <v>49000</v>
      </c>
      <c r="F11" s="13" t="s">
        <v>220</v>
      </c>
      <c r="G11" s="9">
        <v>11000</v>
      </c>
      <c r="H11" s="9">
        <v>6000</v>
      </c>
      <c r="I11" s="9">
        <v>34000</v>
      </c>
      <c r="J11" s="9">
        <v>613000</v>
      </c>
    </row>
    <row r="12" spans="1:11" ht="24.75" customHeight="1">
      <c r="A12" s="122" t="s">
        <v>194</v>
      </c>
      <c r="B12" s="106">
        <v>777000</v>
      </c>
      <c r="C12" s="11">
        <v>52000</v>
      </c>
      <c r="D12" s="16" t="s">
        <v>220</v>
      </c>
      <c r="E12" s="11">
        <v>31000</v>
      </c>
      <c r="F12" s="16" t="s">
        <v>220</v>
      </c>
      <c r="G12" s="11">
        <v>15000</v>
      </c>
      <c r="H12" s="11">
        <v>6000</v>
      </c>
      <c r="I12" s="11">
        <v>53000</v>
      </c>
      <c r="J12" s="11">
        <v>671000</v>
      </c>
    </row>
    <row r="13" spans="1:11" ht="12.45" customHeight="1">
      <c r="A13" s="122" t="s">
        <v>195</v>
      </c>
      <c r="B13" s="105">
        <v>1521000</v>
      </c>
      <c r="C13" s="9">
        <v>108000</v>
      </c>
      <c r="D13" s="9">
        <v>6000</v>
      </c>
      <c r="E13" s="9">
        <v>57000</v>
      </c>
      <c r="F13" s="13" t="s">
        <v>220</v>
      </c>
      <c r="G13" s="9">
        <v>41000</v>
      </c>
      <c r="H13" s="9">
        <v>3000</v>
      </c>
      <c r="I13" s="9">
        <v>146000</v>
      </c>
      <c r="J13" s="9">
        <v>1267000</v>
      </c>
    </row>
    <row r="14" spans="1:11" ht="24.75" customHeight="1">
      <c r="A14" s="122" t="s">
        <v>196</v>
      </c>
      <c r="B14" s="106">
        <v>800000</v>
      </c>
      <c r="C14" s="11">
        <v>54000</v>
      </c>
      <c r="D14" s="11">
        <v>2000</v>
      </c>
      <c r="E14" s="11">
        <v>33000</v>
      </c>
      <c r="F14" s="16" t="s">
        <v>220</v>
      </c>
      <c r="G14" s="11">
        <v>15000</v>
      </c>
      <c r="H14" s="11">
        <v>4000</v>
      </c>
      <c r="I14" s="11">
        <v>66000</v>
      </c>
      <c r="J14" s="11">
        <v>680000</v>
      </c>
    </row>
    <row r="15" spans="1:11" ht="24.75" customHeight="1">
      <c r="A15" s="122" t="s">
        <v>197</v>
      </c>
      <c r="B15" s="106">
        <v>417000</v>
      </c>
      <c r="C15" s="11">
        <v>39000</v>
      </c>
      <c r="D15" s="16" t="s">
        <v>191</v>
      </c>
      <c r="E15" s="11">
        <v>18000</v>
      </c>
      <c r="F15" s="11">
        <v>4000</v>
      </c>
      <c r="G15" s="11">
        <v>13000</v>
      </c>
      <c r="H15" s="11">
        <v>3000</v>
      </c>
      <c r="I15" s="11">
        <v>55000</v>
      </c>
      <c r="J15" s="11">
        <v>323000</v>
      </c>
    </row>
    <row r="16" spans="1:11" ht="12.45" customHeight="1">
      <c r="A16" s="121" t="s">
        <v>198</v>
      </c>
      <c r="B16" s="105">
        <v>2725000</v>
      </c>
      <c r="C16" s="9">
        <v>1470000</v>
      </c>
      <c r="D16" s="9">
        <v>9000</v>
      </c>
      <c r="E16" s="9">
        <v>462000</v>
      </c>
      <c r="F16" s="9">
        <v>8000</v>
      </c>
      <c r="G16" s="13" t="s">
        <v>191</v>
      </c>
      <c r="H16" s="9">
        <v>989000</v>
      </c>
      <c r="I16" s="9">
        <v>428000</v>
      </c>
      <c r="J16" s="9">
        <v>827000</v>
      </c>
    </row>
    <row r="17" spans="1:10" ht="61.5" customHeight="1">
      <c r="A17" s="122" t="s">
        <v>199</v>
      </c>
      <c r="B17" s="132">
        <v>86000</v>
      </c>
      <c r="C17" s="25">
        <v>47000</v>
      </c>
      <c r="D17" s="26" t="s">
        <v>220</v>
      </c>
      <c r="E17" s="25">
        <v>10000</v>
      </c>
      <c r="F17" s="26" t="s">
        <v>220</v>
      </c>
      <c r="G17" s="26" t="s">
        <v>220</v>
      </c>
      <c r="H17" s="25">
        <v>38000</v>
      </c>
      <c r="I17" s="25">
        <v>9000</v>
      </c>
      <c r="J17" s="25">
        <v>30000</v>
      </c>
    </row>
    <row r="18" spans="1:10" ht="24.75" customHeight="1">
      <c r="A18" s="122" t="s">
        <v>200</v>
      </c>
      <c r="B18" s="106">
        <v>202000</v>
      </c>
      <c r="C18" s="11">
        <v>112000</v>
      </c>
      <c r="D18" s="11">
        <v>3000</v>
      </c>
      <c r="E18" s="11">
        <v>20000</v>
      </c>
      <c r="F18" s="11">
        <v>2000</v>
      </c>
      <c r="G18" s="16" t="s">
        <v>220</v>
      </c>
      <c r="H18" s="11">
        <v>87000</v>
      </c>
      <c r="I18" s="11">
        <v>25000</v>
      </c>
      <c r="J18" s="11">
        <v>65000</v>
      </c>
    </row>
    <row r="19" spans="1:10" ht="36.75" customHeight="1">
      <c r="A19" s="122" t="s">
        <v>201</v>
      </c>
      <c r="B19" s="132">
        <v>395000</v>
      </c>
      <c r="C19" s="25">
        <v>194000</v>
      </c>
      <c r="D19" s="26" t="s">
        <v>220</v>
      </c>
      <c r="E19" s="25">
        <v>17000</v>
      </c>
      <c r="F19" s="26" t="s">
        <v>222</v>
      </c>
      <c r="G19" s="26" t="s">
        <v>220</v>
      </c>
      <c r="H19" s="25">
        <v>176000</v>
      </c>
      <c r="I19" s="25">
        <v>73000</v>
      </c>
      <c r="J19" s="25">
        <v>128000</v>
      </c>
    </row>
    <row r="20" spans="1:10" ht="36.75" customHeight="1">
      <c r="A20" s="122" t="s">
        <v>202</v>
      </c>
      <c r="B20" s="132">
        <v>924000</v>
      </c>
      <c r="C20" s="25">
        <v>569000</v>
      </c>
      <c r="D20" s="26" t="s">
        <v>220</v>
      </c>
      <c r="E20" s="25">
        <v>338000</v>
      </c>
      <c r="F20" s="26" t="s">
        <v>191</v>
      </c>
      <c r="G20" s="26" t="s">
        <v>220</v>
      </c>
      <c r="H20" s="25">
        <v>227000</v>
      </c>
      <c r="I20" s="25">
        <v>156000</v>
      </c>
      <c r="J20" s="25">
        <v>198000</v>
      </c>
    </row>
    <row r="21" spans="1:10" ht="24.75" customHeight="1">
      <c r="A21" s="122" t="s">
        <v>203</v>
      </c>
      <c r="B21" s="106">
        <v>154000</v>
      </c>
      <c r="C21" s="11">
        <v>46000</v>
      </c>
      <c r="D21" s="16" t="s">
        <v>220</v>
      </c>
      <c r="E21" s="11">
        <v>13000</v>
      </c>
      <c r="F21" s="16" t="s">
        <v>220</v>
      </c>
      <c r="G21" s="16" t="s">
        <v>220</v>
      </c>
      <c r="H21" s="11">
        <v>32000</v>
      </c>
      <c r="I21" s="11">
        <v>26000</v>
      </c>
      <c r="J21" s="11">
        <v>82000</v>
      </c>
    </row>
    <row r="22" spans="1:10" ht="24.75" customHeight="1">
      <c r="A22" s="122" t="s">
        <v>204</v>
      </c>
      <c r="B22" s="106">
        <v>660000</v>
      </c>
      <c r="C22" s="11">
        <v>372000</v>
      </c>
      <c r="D22" s="16" t="s">
        <v>220</v>
      </c>
      <c r="E22" s="11">
        <v>44000</v>
      </c>
      <c r="F22" s="16" t="s">
        <v>220</v>
      </c>
      <c r="G22" s="16" t="s">
        <v>220</v>
      </c>
      <c r="H22" s="11">
        <v>327000</v>
      </c>
      <c r="I22" s="11">
        <v>85000</v>
      </c>
      <c r="J22" s="11">
        <v>203000</v>
      </c>
    </row>
    <row r="23" spans="1:10" ht="24.75" customHeight="1">
      <c r="A23" s="122" t="s">
        <v>205</v>
      </c>
      <c r="B23" s="106">
        <v>304000</v>
      </c>
      <c r="C23" s="11">
        <v>130000</v>
      </c>
      <c r="D23" s="11">
        <v>4000</v>
      </c>
      <c r="E23" s="11">
        <v>20000</v>
      </c>
      <c r="F23" s="11">
        <v>3000</v>
      </c>
      <c r="G23" s="16" t="s">
        <v>220</v>
      </c>
      <c r="H23" s="11">
        <v>103000</v>
      </c>
      <c r="I23" s="11">
        <v>52000</v>
      </c>
      <c r="J23" s="11">
        <v>121000</v>
      </c>
    </row>
    <row r="24" spans="1:10" ht="12.45" customHeight="1">
      <c r="A24" s="120" t="s">
        <v>206</v>
      </c>
      <c r="B24" s="105">
        <v>3821000</v>
      </c>
      <c r="C24" s="9">
        <v>203000</v>
      </c>
      <c r="D24" s="9">
        <v>20000</v>
      </c>
      <c r="E24" s="9">
        <v>100000</v>
      </c>
      <c r="F24" s="9">
        <v>7000</v>
      </c>
      <c r="G24" s="13" t="s">
        <v>191</v>
      </c>
      <c r="H24" s="9">
        <v>62000</v>
      </c>
      <c r="I24" s="9">
        <v>2494000</v>
      </c>
      <c r="J24" s="9">
        <v>1123000</v>
      </c>
    </row>
    <row r="25" spans="1:10" ht="12.45" customHeight="1">
      <c r="A25" s="121" t="s">
        <v>207</v>
      </c>
      <c r="B25" s="105">
        <v>2912000</v>
      </c>
      <c r="C25" s="9">
        <v>57000</v>
      </c>
      <c r="D25" s="9">
        <v>20000</v>
      </c>
      <c r="E25" s="9">
        <v>22000</v>
      </c>
      <c r="F25" s="9">
        <v>6000</v>
      </c>
      <c r="G25" s="9">
        <v>5000</v>
      </c>
      <c r="H25" s="13" t="s">
        <v>191</v>
      </c>
      <c r="I25" s="9">
        <v>2187000</v>
      </c>
      <c r="J25" s="9">
        <v>669000</v>
      </c>
    </row>
    <row r="26" spans="1:10" ht="36.75" customHeight="1">
      <c r="A26" s="121" t="s">
        <v>208</v>
      </c>
      <c r="B26" s="132">
        <v>171000</v>
      </c>
      <c r="C26" s="26" t="s">
        <v>191</v>
      </c>
      <c r="D26" s="26" t="s">
        <v>220</v>
      </c>
      <c r="E26" s="26" t="s">
        <v>191</v>
      </c>
      <c r="F26" s="26" t="s">
        <v>220</v>
      </c>
      <c r="G26" s="26" t="s">
        <v>220</v>
      </c>
      <c r="H26" s="26" t="s">
        <v>220</v>
      </c>
      <c r="I26" s="25">
        <v>90000</v>
      </c>
      <c r="J26" s="25">
        <v>70000</v>
      </c>
    </row>
    <row r="27" spans="1:10" ht="24.75" customHeight="1">
      <c r="A27" s="121" t="s">
        <v>209</v>
      </c>
      <c r="B27" s="106">
        <v>393000</v>
      </c>
      <c r="C27" s="11">
        <v>117000</v>
      </c>
      <c r="D27" s="16" t="s">
        <v>220</v>
      </c>
      <c r="E27" s="11">
        <v>67000</v>
      </c>
      <c r="F27" s="11">
        <v>1000</v>
      </c>
      <c r="G27" s="16" t="s">
        <v>220</v>
      </c>
      <c r="H27" s="11">
        <v>50000</v>
      </c>
      <c r="I27" s="11">
        <v>77000</v>
      </c>
      <c r="J27" s="11">
        <v>198000</v>
      </c>
    </row>
    <row r="28" spans="1:10" ht="24.75" customHeight="1">
      <c r="A28" s="121" t="s">
        <v>210</v>
      </c>
      <c r="B28" s="106">
        <v>344000</v>
      </c>
      <c r="C28" s="11">
        <v>18000</v>
      </c>
      <c r="D28" s="16" t="s">
        <v>220</v>
      </c>
      <c r="E28" s="16" t="s">
        <v>191</v>
      </c>
      <c r="F28" s="16" t="s">
        <v>220</v>
      </c>
      <c r="G28" s="16" t="s">
        <v>191</v>
      </c>
      <c r="H28" s="11">
        <v>7000</v>
      </c>
      <c r="I28" s="11">
        <v>141000</v>
      </c>
      <c r="J28" s="11">
        <v>186000</v>
      </c>
    </row>
    <row r="29" spans="1:10" ht="12.45" customHeight="1">
      <c r="A29" s="120" t="s">
        <v>211</v>
      </c>
      <c r="B29" s="105">
        <v>16491000</v>
      </c>
      <c r="C29" s="9">
        <v>736000</v>
      </c>
      <c r="D29" s="9">
        <v>17000</v>
      </c>
      <c r="E29" s="9">
        <v>608000</v>
      </c>
      <c r="F29" s="9">
        <v>8000</v>
      </c>
      <c r="G29" s="9">
        <v>40000</v>
      </c>
      <c r="H29" s="9">
        <v>64000</v>
      </c>
      <c r="I29" s="9">
        <v>845000</v>
      </c>
      <c r="J29" s="9">
        <v>14909000</v>
      </c>
    </row>
  </sheetData>
  <mergeCells count="6">
    <mergeCell ref="A1:K1"/>
    <mergeCell ref="A3:A4"/>
    <mergeCell ref="B3:B4"/>
    <mergeCell ref="C3:H3"/>
    <mergeCell ref="I3:I4"/>
    <mergeCell ref="J3:J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8"/>
  <sheetViews>
    <sheetView topLeftCell="A16" workbookViewId="0">
      <selection activeCell="A5" sqref="A5:J28"/>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36.75" customHeight="1">
      <c r="A5" s="121" t="s">
        <v>212</v>
      </c>
      <c r="B5" s="134">
        <v>6113000</v>
      </c>
      <c r="C5" s="27">
        <v>292000</v>
      </c>
      <c r="D5" s="27">
        <v>6000</v>
      </c>
      <c r="E5" s="27">
        <v>245000</v>
      </c>
      <c r="F5" s="27">
        <v>1000</v>
      </c>
      <c r="G5" s="28" t="s">
        <v>191</v>
      </c>
      <c r="H5" s="27">
        <v>35000</v>
      </c>
      <c r="I5" s="27">
        <v>263000</v>
      </c>
      <c r="J5" s="27">
        <v>5558000</v>
      </c>
    </row>
    <row r="6" spans="1:11" ht="36.75" customHeight="1">
      <c r="A6" s="121" t="s">
        <v>213</v>
      </c>
      <c r="B6" s="132">
        <v>1960000</v>
      </c>
      <c r="C6" s="25">
        <v>32000</v>
      </c>
      <c r="D6" s="26" t="s">
        <v>220</v>
      </c>
      <c r="E6" s="25">
        <v>25000</v>
      </c>
      <c r="F6" s="26" t="s">
        <v>220</v>
      </c>
      <c r="G6" s="26" t="s">
        <v>191</v>
      </c>
      <c r="H6" s="25">
        <v>2000</v>
      </c>
      <c r="I6" s="25">
        <v>140000</v>
      </c>
      <c r="J6" s="25">
        <v>1788000</v>
      </c>
    </row>
    <row r="7" spans="1:11" ht="24.75" customHeight="1">
      <c r="A7" s="121" t="s">
        <v>214</v>
      </c>
      <c r="B7" s="106">
        <v>542000</v>
      </c>
      <c r="C7" s="11">
        <v>26000</v>
      </c>
      <c r="D7" s="16" t="s">
        <v>220</v>
      </c>
      <c r="E7" s="11">
        <v>16000</v>
      </c>
      <c r="F7" s="16" t="s">
        <v>220</v>
      </c>
      <c r="G7" s="11">
        <v>7000</v>
      </c>
      <c r="H7" s="16" t="s">
        <v>191</v>
      </c>
      <c r="I7" s="11">
        <v>18000</v>
      </c>
      <c r="J7" s="11">
        <v>498000</v>
      </c>
    </row>
    <row r="8" spans="1:11" ht="24.75" customHeight="1">
      <c r="A8" s="121" t="s">
        <v>215</v>
      </c>
      <c r="B8" s="106">
        <v>1078000</v>
      </c>
      <c r="C8" s="11">
        <v>44000</v>
      </c>
      <c r="D8" s="16" t="s">
        <v>220</v>
      </c>
      <c r="E8" s="11">
        <v>37000</v>
      </c>
      <c r="F8" s="16" t="s">
        <v>220</v>
      </c>
      <c r="G8" s="16" t="s">
        <v>191</v>
      </c>
      <c r="H8" s="16" t="s">
        <v>191</v>
      </c>
      <c r="I8" s="11">
        <v>51000</v>
      </c>
      <c r="J8" s="11">
        <v>982000</v>
      </c>
    </row>
    <row r="9" spans="1:11" ht="24.75" customHeight="1">
      <c r="A9" s="121" t="s">
        <v>216</v>
      </c>
      <c r="B9" s="106">
        <v>3626000</v>
      </c>
      <c r="C9" s="11">
        <v>231000</v>
      </c>
      <c r="D9" s="16" t="s">
        <v>191</v>
      </c>
      <c r="E9" s="11">
        <v>205000</v>
      </c>
      <c r="F9" s="16" t="s">
        <v>191</v>
      </c>
      <c r="G9" s="16" t="s">
        <v>191</v>
      </c>
      <c r="H9" s="11">
        <v>9000</v>
      </c>
      <c r="I9" s="11">
        <v>251000</v>
      </c>
      <c r="J9" s="11">
        <v>3145000</v>
      </c>
    </row>
    <row r="10" spans="1:11" ht="24.75" customHeight="1">
      <c r="A10" s="121" t="s">
        <v>217</v>
      </c>
      <c r="B10" s="106">
        <v>3172000</v>
      </c>
      <c r="C10" s="11">
        <v>112000</v>
      </c>
      <c r="D10" s="11">
        <v>9000</v>
      </c>
      <c r="E10" s="11">
        <v>80000</v>
      </c>
      <c r="F10" s="11">
        <v>4000</v>
      </c>
      <c r="G10" s="16" t="s">
        <v>191</v>
      </c>
      <c r="H10" s="11">
        <v>9000</v>
      </c>
      <c r="I10" s="11">
        <v>122000</v>
      </c>
      <c r="J10" s="11">
        <v>2938000</v>
      </c>
    </row>
    <row r="11" spans="1:11" ht="12.45" customHeight="1">
      <c r="A11" s="114" t="s">
        <v>49</v>
      </c>
      <c r="B11" s="144">
        <v>14688000</v>
      </c>
      <c r="C11" s="143">
        <v>2411000</v>
      </c>
      <c r="D11" s="143">
        <v>188000</v>
      </c>
      <c r="E11" s="143">
        <v>1251000</v>
      </c>
      <c r="F11" s="143">
        <v>105000</v>
      </c>
      <c r="G11" s="143">
        <v>283000</v>
      </c>
      <c r="H11" s="143">
        <v>584000</v>
      </c>
      <c r="I11" s="143">
        <v>2578000</v>
      </c>
      <c r="J11" s="143">
        <v>9699000</v>
      </c>
    </row>
    <row r="12" spans="1:11" ht="12.45" customHeight="1">
      <c r="A12" s="115" t="s">
        <v>178</v>
      </c>
      <c r="B12" s="105">
        <v>3680000</v>
      </c>
      <c r="C12" s="9">
        <v>1671000</v>
      </c>
      <c r="D12" s="9">
        <v>137000</v>
      </c>
      <c r="E12" s="9">
        <v>815000</v>
      </c>
      <c r="F12" s="9">
        <v>89000</v>
      </c>
      <c r="G12" s="9">
        <v>175000</v>
      </c>
      <c r="H12" s="9">
        <v>455000</v>
      </c>
      <c r="I12" s="9">
        <v>552000</v>
      </c>
      <c r="J12" s="9">
        <v>1457000</v>
      </c>
    </row>
    <row r="13" spans="1:11" ht="49.5" customHeight="1">
      <c r="A13" s="116" t="s">
        <v>179</v>
      </c>
      <c r="B13" s="132">
        <v>417000</v>
      </c>
      <c r="C13" s="25">
        <v>157000</v>
      </c>
      <c r="D13" s="25">
        <v>112000</v>
      </c>
      <c r="E13" s="25">
        <v>14000</v>
      </c>
      <c r="F13" s="25">
        <v>20000</v>
      </c>
      <c r="G13" s="25">
        <v>4000</v>
      </c>
      <c r="H13" s="25">
        <v>7000</v>
      </c>
      <c r="I13" s="25">
        <v>104000</v>
      </c>
      <c r="J13" s="25">
        <v>157000</v>
      </c>
    </row>
    <row r="14" spans="1:11" ht="24.75" customHeight="1">
      <c r="A14" s="117" t="s">
        <v>180</v>
      </c>
      <c r="B14" s="106">
        <v>46000</v>
      </c>
      <c r="C14" s="11">
        <v>20000</v>
      </c>
      <c r="D14" s="11">
        <v>17000</v>
      </c>
      <c r="E14" s="16" t="s">
        <v>220</v>
      </c>
      <c r="F14" s="16" t="s">
        <v>191</v>
      </c>
      <c r="G14" s="16" t="s">
        <v>220</v>
      </c>
      <c r="H14" s="16" t="s">
        <v>191</v>
      </c>
      <c r="I14" s="11">
        <v>6000</v>
      </c>
      <c r="J14" s="11">
        <v>20000</v>
      </c>
    </row>
    <row r="15" spans="1:11" ht="24.75" customHeight="1">
      <c r="A15" s="117" t="s">
        <v>181</v>
      </c>
      <c r="B15" s="106">
        <v>286000</v>
      </c>
      <c r="C15" s="11">
        <v>107000</v>
      </c>
      <c r="D15" s="11">
        <v>82000</v>
      </c>
      <c r="E15" s="11">
        <v>10000</v>
      </c>
      <c r="F15" s="11">
        <v>10000</v>
      </c>
      <c r="G15" s="16" t="s">
        <v>191</v>
      </c>
      <c r="H15" s="11">
        <v>3000</v>
      </c>
      <c r="I15" s="11">
        <v>85000</v>
      </c>
      <c r="J15" s="11">
        <v>93000</v>
      </c>
    </row>
    <row r="16" spans="1:11" ht="24.75" customHeight="1">
      <c r="A16" s="117" t="s">
        <v>182</v>
      </c>
      <c r="B16" s="106">
        <v>86000</v>
      </c>
      <c r="C16" s="11">
        <v>29000</v>
      </c>
      <c r="D16" s="11">
        <v>13000</v>
      </c>
      <c r="E16" s="11">
        <v>3000</v>
      </c>
      <c r="F16" s="11">
        <v>8000</v>
      </c>
      <c r="G16" s="16" t="s">
        <v>191</v>
      </c>
      <c r="H16" s="11">
        <v>4000</v>
      </c>
      <c r="I16" s="11">
        <v>13000</v>
      </c>
      <c r="J16" s="11">
        <v>43000</v>
      </c>
    </row>
    <row r="17" spans="1:10" ht="36.75" customHeight="1">
      <c r="A17" s="116" t="s">
        <v>183</v>
      </c>
      <c r="B17" s="132">
        <v>888000</v>
      </c>
      <c r="C17" s="25">
        <v>560000</v>
      </c>
      <c r="D17" s="25">
        <v>2000</v>
      </c>
      <c r="E17" s="25">
        <v>539000</v>
      </c>
      <c r="F17" s="26" t="s">
        <v>191</v>
      </c>
      <c r="G17" s="25">
        <v>4000</v>
      </c>
      <c r="H17" s="25">
        <v>14000</v>
      </c>
      <c r="I17" s="25">
        <v>132000</v>
      </c>
      <c r="J17" s="25">
        <v>195000</v>
      </c>
    </row>
    <row r="18" spans="1:10" ht="36.75" customHeight="1">
      <c r="A18" s="117" t="s">
        <v>184</v>
      </c>
      <c r="B18" s="132">
        <v>732000</v>
      </c>
      <c r="C18" s="25">
        <v>481000</v>
      </c>
      <c r="D18" s="25">
        <v>1000</v>
      </c>
      <c r="E18" s="25">
        <v>465000</v>
      </c>
      <c r="F18" s="26" t="s">
        <v>220</v>
      </c>
      <c r="G18" s="26" t="s">
        <v>191</v>
      </c>
      <c r="H18" s="25">
        <v>12000</v>
      </c>
      <c r="I18" s="25">
        <v>102000</v>
      </c>
      <c r="J18" s="25">
        <v>148000</v>
      </c>
    </row>
    <row r="19" spans="1:10" ht="24.75" customHeight="1">
      <c r="A19" s="117" t="s">
        <v>185</v>
      </c>
      <c r="B19" s="106">
        <v>156000</v>
      </c>
      <c r="C19" s="11">
        <v>79000</v>
      </c>
      <c r="D19" s="11">
        <v>1000</v>
      </c>
      <c r="E19" s="11">
        <v>74000</v>
      </c>
      <c r="F19" s="16" t="s">
        <v>220</v>
      </c>
      <c r="G19" s="16" t="s">
        <v>191</v>
      </c>
      <c r="H19" s="11">
        <v>2000</v>
      </c>
      <c r="I19" s="11">
        <v>30000</v>
      </c>
      <c r="J19" s="11">
        <v>47000</v>
      </c>
    </row>
    <row r="20" spans="1:10" ht="24.75" customHeight="1">
      <c r="A20" s="116" t="s">
        <v>186</v>
      </c>
      <c r="B20" s="106">
        <v>174000</v>
      </c>
      <c r="C20" s="11">
        <v>106000</v>
      </c>
      <c r="D20" s="11">
        <v>10000</v>
      </c>
      <c r="E20" s="11">
        <v>25000</v>
      </c>
      <c r="F20" s="11">
        <v>58000</v>
      </c>
      <c r="G20" s="16" t="s">
        <v>191</v>
      </c>
      <c r="H20" s="11">
        <v>12000</v>
      </c>
      <c r="I20" s="11">
        <v>29000</v>
      </c>
      <c r="J20" s="11">
        <v>39000</v>
      </c>
    </row>
    <row r="21" spans="1:10" ht="36.75" customHeight="1">
      <c r="A21" s="117" t="s">
        <v>187</v>
      </c>
      <c r="B21" s="132">
        <v>57000</v>
      </c>
      <c r="C21" s="25">
        <v>28000</v>
      </c>
      <c r="D21" s="25">
        <v>8000</v>
      </c>
      <c r="E21" s="26" t="s">
        <v>191</v>
      </c>
      <c r="F21" s="25">
        <v>13000</v>
      </c>
      <c r="G21" s="26" t="s">
        <v>220</v>
      </c>
      <c r="H21" s="25">
        <v>4000</v>
      </c>
      <c r="I21" s="25">
        <v>11000</v>
      </c>
      <c r="J21" s="25">
        <v>19000</v>
      </c>
    </row>
    <row r="22" spans="1:10" ht="49.5" customHeight="1">
      <c r="A22" s="117" t="s">
        <v>188</v>
      </c>
      <c r="B22" s="132">
        <v>59000</v>
      </c>
      <c r="C22" s="25">
        <v>39000</v>
      </c>
      <c r="D22" s="25">
        <v>1000</v>
      </c>
      <c r="E22" s="25">
        <v>3000</v>
      </c>
      <c r="F22" s="25">
        <v>29000</v>
      </c>
      <c r="G22" s="26" t="s">
        <v>220</v>
      </c>
      <c r="H22" s="25">
        <v>5000</v>
      </c>
      <c r="I22" s="25">
        <v>6000</v>
      </c>
      <c r="J22" s="25">
        <v>14000</v>
      </c>
    </row>
    <row r="23" spans="1:10" ht="24.75" customHeight="1">
      <c r="A23" s="117" t="s">
        <v>189</v>
      </c>
      <c r="B23" s="106">
        <v>52000</v>
      </c>
      <c r="C23" s="11">
        <v>37000</v>
      </c>
      <c r="D23" s="16" t="s">
        <v>220</v>
      </c>
      <c r="E23" s="11">
        <v>20000</v>
      </c>
      <c r="F23" s="11">
        <v>15000</v>
      </c>
      <c r="G23" s="16" t="s">
        <v>220</v>
      </c>
      <c r="H23" s="11">
        <v>3000</v>
      </c>
      <c r="I23" s="11">
        <v>9000</v>
      </c>
      <c r="J23" s="11">
        <v>6000</v>
      </c>
    </row>
    <row r="24" spans="1:10" ht="24.75" customHeight="1">
      <c r="A24" s="117" t="s">
        <v>190</v>
      </c>
      <c r="B24" s="106">
        <v>6000</v>
      </c>
      <c r="C24" s="16" t="s">
        <v>191</v>
      </c>
      <c r="D24" s="16" t="s">
        <v>220</v>
      </c>
      <c r="E24" s="16" t="s">
        <v>220</v>
      </c>
      <c r="F24" s="16" t="s">
        <v>191</v>
      </c>
      <c r="G24" s="16" t="s">
        <v>220</v>
      </c>
      <c r="H24" s="16" t="s">
        <v>220</v>
      </c>
      <c r="I24" s="16" t="s">
        <v>191</v>
      </c>
      <c r="J24" s="11">
        <v>1000</v>
      </c>
    </row>
    <row r="25" spans="1:10" ht="24.75" customHeight="1">
      <c r="A25" s="116" t="s">
        <v>192</v>
      </c>
      <c r="B25" s="106">
        <v>1171000</v>
      </c>
      <c r="C25" s="11">
        <v>212000</v>
      </c>
      <c r="D25" s="11">
        <v>2000</v>
      </c>
      <c r="E25" s="11">
        <v>42000</v>
      </c>
      <c r="F25" s="11">
        <v>2000</v>
      </c>
      <c r="G25" s="11">
        <v>163000</v>
      </c>
      <c r="H25" s="11">
        <v>3000</v>
      </c>
      <c r="I25" s="11">
        <v>109000</v>
      </c>
      <c r="J25" s="11">
        <v>850000</v>
      </c>
    </row>
    <row r="26" spans="1:10" ht="12.45" customHeight="1">
      <c r="A26" s="145" t="s">
        <v>193</v>
      </c>
      <c r="B26" s="105">
        <v>114000</v>
      </c>
      <c r="C26" s="9">
        <v>30000</v>
      </c>
      <c r="D26" s="13" t="s">
        <v>220</v>
      </c>
      <c r="E26" s="9">
        <v>10000</v>
      </c>
      <c r="F26" s="13" t="s">
        <v>220</v>
      </c>
      <c r="G26" s="9">
        <v>19000</v>
      </c>
      <c r="H26" s="13" t="s">
        <v>222</v>
      </c>
      <c r="I26" s="9">
        <v>2000</v>
      </c>
      <c r="J26" s="9">
        <v>81000</v>
      </c>
    </row>
    <row r="27" spans="1:10" ht="24.75" customHeight="1">
      <c r="A27" s="117" t="s">
        <v>194</v>
      </c>
      <c r="B27" s="106">
        <v>231000</v>
      </c>
      <c r="C27" s="11">
        <v>46000</v>
      </c>
      <c r="D27" s="16" t="s">
        <v>220</v>
      </c>
      <c r="E27" s="11">
        <v>12000</v>
      </c>
      <c r="F27" s="16" t="s">
        <v>220</v>
      </c>
      <c r="G27" s="11">
        <v>32000</v>
      </c>
      <c r="H27" s="11">
        <v>1000</v>
      </c>
      <c r="I27" s="11">
        <v>12000</v>
      </c>
      <c r="J27" s="11">
        <v>173000</v>
      </c>
    </row>
    <row r="28" spans="1:10" ht="12.45" customHeight="1">
      <c r="A28" s="146" t="s">
        <v>195</v>
      </c>
      <c r="B28" s="105">
        <v>602000</v>
      </c>
      <c r="C28" s="9">
        <v>96000</v>
      </c>
      <c r="D28" s="9">
        <v>1000</v>
      </c>
      <c r="E28" s="9">
        <v>7000</v>
      </c>
      <c r="F28" s="13" t="s">
        <v>220</v>
      </c>
      <c r="G28" s="9">
        <v>86000</v>
      </c>
      <c r="H28" s="13" t="s">
        <v>220</v>
      </c>
      <c r="I28" s="9">
        <v>73000</v>
      </c>
      <c r="J28" s="9">
        <v>433000</v>
      </c>
    </row>
  </sheetData>
  <mergeCells count="6">
    <mergeCell ref="A1:K1"/>
    <mergeCell ref="A3:A4"/>
    <mergeCell ref="B3:B4"/>
    <mergeCell ref="C3:H3"/>
    <mergeCell ref="I3:I4"/>
    <mergeCell ref="J3:J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4D117-40CB-434E-B75A-9D2C552AE572}">
  <dimension ref="A1:S8"/>
  <sheetViews>
    <sheetView workbookViewId="0">
      <selection activeCell="F10" sqref="F10"/>
    </sheetView>
  </sheetViews>
  <sheetFormatPr defaultRowHeight="13.2"/>
  <cols>
    <col min="1" max="1" width="15.44140625" bestFit="1" customWidth="1"/>
    <col min="3" max="3" width="10.6640625" bestFit="1" customWidth="1"/>
    <col min="4" max="4" width="10.77734375" bestFit="1" customWidth="1"/>
    <col min="5" max="5" width="10.77734375" customWidth="1"/>
    <col min="6" max="6" width="15.44140625" bestFit="1" customWidth="1"/>
    <col min="8" max="8" width="10.6640625" bestFit="1" customWidth="1"/>
    <col min="9" max="9" width="10.77734375" bestFit="1" customWidth="1"/>
    <col min="10" max="10" width="10.77734375" customWidth="1"/>
    <col min="11" max="11" width="15.44140625" bestFit="1" customWidth="1"/>
    <col min="13" max="13" width="10.6640625" bestFit="1" customWidth="1"/>
    <col min="14" max="14" width="10.77734375" bestFit="1" customWidth="1"/>
    <col min="16" max="16" width="15.44140625" bestFit="1" customWidth="1"/>
    <col min="18" max="18" width="10.6640625" bestFit="1" customWidth="1"/>
    <col min="19" max="19" width="11.44140625" bestFit="1" customWidth="1"/>
  </cols>
  <sheetData>
    <row r="1" spans="1:19">
      <c r="A1" s="315" t="s">
        <v>47</v>
      </c>
      <c r="B1" s="315"/>
      <c r="C1" s="315"/>
      <c r="D1" s="315"/>
      <c r="E1" s="290"/>
      <c r="F1" s="316" t="s">
        <v>48</v>
      </c>
      <c r="G1" s="316"/>
      <c r="H1" s="316"/>
      <c r="I1" s="316"/>
      <c r="J1" s="290"/>
      <c r="K1" s="317" t="s">
        <v>49</v>
      </c>
      <c r="L1" s="317"/>
      <c r="M1" s="317"/>
      <c r="N1" s="317"/>
      <c r="O1" s="290"/>
      <c r="P1" s="318" t="s">
        <v>50</v>
      </c>
      <c r="Q1" s="318"/>
      <c r="R1" s="318"/>
      <c r="S1" s="318"/>
    </row>
    <row r="2" spans="1:19">
      <c r="A2" s="290" t="s">
        <v>51</v>
      </c>
      <c r="B2" s="290"/>
      <c r="C2" s="290" t="s">
        <v>52</v>
      </c>
      <c r="D2" s="290"/>
      <c r="E2" s="290"/>
      <c r="F2" s="290" t="s">
        <v>51</v>
      </c>
      <c r="G2" s="290" t="s">
        <v>51</v>
      </c>
      <c r="H2" s="290" t="s">
        <v>52</v>
      </c>
      <c r="I2" s="290" t="s">
        <v>52</v>
      </c>
      <c r="J2" s="290"/>
      <c r="K2" s="290" t="s">
        <v>51</v>
      </c>
      <c r="L2" s="290"/>
      <c r="M2" s="290" t="s">
        <v>52</v>
      </c>
      <c r="N2" s="290"/>
      <c r="O2" s="290"/>
      <c r="P2" s="290" t="s">
        <v>51</v>
      </c>
      <c r="Q2" s="290"/>
      <c r="R2" s="290" t="s">
        <v>52</v>
      </c>
    </row>
    <row r="3" spans="1:19">
      <c r="A3" t="s">
        <v>53</v>
      </c>
      <c r="B3">
        <v>20.767082129060149</v>
      </c>
      <c r="C3" t="s">
        <v>53</v>
      </c>
      <c r="D3" s="263">
        <v>31747.408892901396</v>
      </c>
      <c r="E3" s="263"/>
      <c r="F3" t="s">
        <v>53</v>
      </c>
      <c r="G3">
        <v>27.637583758841515</v>
      </c>
      <c r="H3" t="s">
        <v>53</v>
      </c>
      <c r="I3" s="263">
        <v>29833.084851147898</v>
      </c>
      <c r="J3" s="263"/>
      <c r="K3" t="s">
        <v>53</v>
      </c>
      <c r="L3">
        <v>15.5482786284166</v>
      </c>
      <c r="M3" t="s">
        <v>53</v>
      </c>
      <c r="N3" s="263">
        <v>27627.813034576713</v>
      </c>
      <c r="P3" t="s">
        <v>53</v>
      </c>
      <c r="Q3">
        <v>13.714134600582401</v>
      </c>
      <c r="R3" t="s">
        <v>53</v>
      </c>
      <c r="S3" s="296">
        <v>-36725.488992823171</v>
      </c>
    </row>
    <row r="4" spans="1:19">
      <c r="A4" t="s">
        <v>54</v>
      </c>
      <c r="B4">
        <v>2.336974598481385</v>
      </c>
      <c r="C4" t="s">
        <v>55</v>
      </c>
      <c r="D4">
        <v>1.3287277851596058</v>
      </c>
      <c r="F4" t="s">
        <v>54</v>
      </c>
      <c r="G4">
        <v>3.0970010996591903</v>
      </c>
      <c r="H4" t="s">
        <v>55</v>
      </c>
      <c r="I4">
        <v>1.2727498696668229</v>
      </c>
      <c r="K4" t="s">
        <v>54</v>
      </c>
      <c r="L4">
        <v>2.9272329804745718</v>
      </c>
      <c r="M4" t="s">
        <v>55</v>
      </c>
      <c r="N4">
        <v>1.1906994766584413</v>
      </c>
      <c r="P4" t="s">
        <v>54</v>
      </c>
      <c r="Q4">
        <v>5.8440270492894326</v>
      </c>
      <c r="R4" t="s">
        <v>55</v>
      </c>
      <c r="S4">
        <v>0.83694191574535159</v>
      </c>
    </row>
    <row r="5" spans="1:19">
      <c r="A5" t="s">
        <v>56</v>
      </c>
      <c r="B5" s="263">
        <v>31.029370073564639</v>
      </c>
      <c r="C5" t="s">
        <v>56</v>
      </c>
      <c r="D5" s="263">
        <v>109691.89300969851</v>
      </c>
      <c r="E5" s="263"/>
      <c r="F5" t="s">
        <v>56</v>
      </c>
      <c r="G5" s="263">
        <v>34.890678573049357</v>
      </c>
      <c r="H5" t="s">
        <v>56</v>
      </c>
      <c r="I5" s="263">
        <v>118999.00104163017</v>
      </c>
      <c r="J5" s="263"/>
      <c r="K5" t="s">
        <v>56</v>
      </c>
      <c r="L5" s="263">
        <v>20.187011387607456</v>
      </c>
      <c r="M5" t="s">
        <v>56</v>
      </c>
      <c r="N5" s="263">
        <v>147457.14216939179</v>
      </c>
      <c r="P5" t="s">
        <v>56</v>
      </c>
      <c r="Q5" s="263">
        <v>14.142972869105463</v>
      </c>
      <c r="R5" t="s">
        <v>56</v>
      </c>
      <c r="S5" s="296">
        <v>161134.0092258674</v>
      </c>
    </row>
    <row r="6" spans="1:19">
      <c r="A6" t="s">
        <v>57</v>
      </c>
      <c r="B6" s="263">
        <v>13.277581234185503</v>
      </c>
      <c r="C6" t="s">
        <v>57</v>
      </c>
      <c r="D6" s="263">
        <v>82554.074833712017</v>
      </c>
      <c r="E6" s="263"/>
      <c r="F6" t="s">
        <v>57</v>
      </c>
      <c r="G6" s="263">
        <v>11.265956146056553</v>
      </c>
      <c r="H6" t="s">
        <v>57</v>
      </c>
      <c r="I6" s="263">
        <v>93497.555079523532</v>
      </c>
      <c r="J6" s="263"/>
      <c r="K6" t="s">
        <v>57</v>
      </c>
      <c r="L6" s="263">
        <v>6.8962776527390295</v>
      </c>
      <c r="M6" t="s">
        <v>57</v>
      </c>
      <c r="N6" s="263">
        <v>123840.77179844995</v>
      </c>
      <c r="P6" t="s">
        <v>57</v>
      </c>
      <c r="Q6" s="263">
        <v>2.4200731361818542</v>
      </c>
      <c r="R6" t="s">
        <v>57</v>
      </c>
      <c r="S6" s="296">
        <v>192527.11113454873</v>
      </c>
    </row>
    <row r="7" spans="1:19">
      <c r="A7" t="s">
        <v>58</v>
      </c>
      <c r="B7" s="263">
        <v>17.751788839379138</v>
      </c>
      <c r="C7" t="s">
        <v>58</v>
      </c>
      <c r="D7" s="263">
        <v>27137.818175986496</v>
      </c>
      <c r="E7" s="263"/>
      <c r="F7" t="s">
        <v>58</v>
      </c>
      <c r="G7" s="263">
        <v>23.624722426992804</v>
      </c>
      <c r="H7" t="s">
        <v>58</v>
      </c>
      <c r="I7" s="263">
        <v>25501.445962106634</v>
      </c>
      <c r="J7" s="263"/>
      <c r="K7" t="s">
        <v>58</v>
      </c>
      <c r="L7" s="263">
        <v>13.290733734868425</v>
      </c>
      <c r="M7" t="s">
        <v>58</v>
      </c>
      <c r="N7" s="263">
        <v>23616.370370941848</v>
      </c>
      <c r="P7" t="s">
        <v>58</v>
      </c>
      <c r="Q7" s="263">
        <v>11.72289973292361</v>
      </c>
      <c r="R7" t="s">
        <v>58</v>
      </c>
      <c r="S7" s="296">
        <v>-31393.101908681332</v>
      </c>
    </row>
    <row r="8" spans="1:19">
      <c r="A8" t="s">
        <v>59</v>
      </c>
      <c r="B8">
        <v>1.336974598481385</v>
      </c>
      <c r="C8" t="s">
        <v>59</v>
      </c>
      <c r="D8">
        <v>0.32872778515960571</v>
      </c>
      <c r="F8" t="s">
        <v>59</v>
      </c>
      <c r="G8">
        <v>2.0970010996591903</v>
      </c>
      <c r="H8" t="s">
        <v>59</v>
      </c>
      <c r="I8">
        <v>0.27274986966682296</v>
      </c>
      <c r="K8" t="s">
        <v>59</v>
      </c>
      <c r="L8">
        <v>1.9272329804745718</v>
      </c>
      <c r="M8" t="s">
        <v>59</v>
      </c>
      <c r="N8">
        <v>0.19069947665844128</v>
      </c>
      <c r="P8" t="s">
        <v>59</v>
      </c>
      <c r="Q8">
        <v>4.8440270492894326</v>
      </c>
      <c r="R8" t="s">
        <v>59</v>
      </c>
      <c r="S8">
        <v>-0.16305808425464843</v>
      </c>
    </row>
  </sheetData>
  <mergeCells count="4">
    <mergeCell ref="A1:D1"/>
    <mergeCell ref="F1:I1"/>
    <mergeCell ref="K1:N1"/>
    <mergeCell ref="P1:S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8"/>
  <sheetViews>
    <sheetView topLeftCell="A14" workbookViewId="0">
      <selection activeCell="A5" sqref="A5:J28"/>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24.75" customHeight="1">
      <c r="A5" s="117" t="s">
        <v>196</v>
      </c>
      <c r="B5" s="142">
        <v>82000</v>
      </c>
      <c r="C5" s="31">
        <v>22000</v>
      </c>
      <c r="D5" s="32" t="s">
        <v>220</v>
      </c>
      <c r="E5" s="29">
        <v>3000</v>
      </c>
      <c r="F5" s="32" t="s">
        <v>220</v>
      </c>
      <c r="G5" s="29">
        <v>18000</v>
      </c>
      <c r="H5" s="32" t="s">
        <v>220</v>
      </c>
      <c r="I5" s="29">
        <v>7000</v>
      </c>
      <c r="J5" s="29">
        <v>53000</v>
      </c>
    </row>
    <row r="6" spans="1:11" ht="24.75" customHeight="1">
      <c r="A6" s="117" t="s">
        <v>197</v>
      </c>
      <c r="B6" s="106">
        <v>142000</v>
      </c>
      <c r="C6" s="33">
        <v>18000</v>
      </c>
      <c r="D6" s="16" t="s">
        <v>220</v>
      </c>
      <c r="E6" s="11">
        <v>9000</v>
      </c>
      <c r="F6" s="11">
        <v>1000</v>
      </c>
      <c r="G6" s="11">
        <v>7000</v>
      </c>
      <c r="H6" s="16" t="s">
        <v>222</v>
      </c>
      <c r="I6" s="11">
        <v>15000</v>
      </c>
      <c r="J6" s="11">
        <v>110000</v>
      </c>
    </row>
    <row r="7" spans="1:11" ht="12.45" customHeight="1">
      <c r="A7" s="116" t="s">
        <v>198</v>
      </c>
      <c r="B7" s="105">
        <v>1030000</v>
      </c>
      <c r="C7" s="34">
        <v>635000</v>
      </c>
      <c r="D7" s="9">
        <v>11000</v>
      </c>
      <c r="E7" s="9">
        <v>195000</v>
      </c>
      <c r="F7" s="9">
        <v>8000</v>
      </c>
      <c r="G7" s="13" t="s">
        <v>191</v>
      </c>
      <c r="H7" s="9">
        <v>418000</v>
      </c>
      <c r="I7" s="9">
        <v>178000</v>
      </c>
      <c r="J7" s="9">
        <v>216000</v>
      </c>
    </row>
    <row r="8" spans="1:11" ht="61.5" customHeight="1">
      <c r="A8" s="117" t="s">
        <v>199</v>
      </c>
      <c r="B8" s="132">
        <v>48000</v>
      </c>
      <c r="C8" s="35">
        <v>29000</v>
      </c>
      <c r="D8" s="26" t="s">
        <v>220</v>
      </c>
      <c r="E8" s="25">
        <v>2000</v>
      </c>
      <c r="F8" s="26" t="s">
        <v>220</v>
      </c>
      <c r="G8" s="26" t="s">
        <v>220</v>
      </c>
      <c r="H8" s="25">
        <v>27000</v>
      </c>
      <c r="I8" s="25">
        <v>7000</v>
      </c>
      <c r="J8" s="25">
        <v>12000</v>
      </c>
    </row>
    <row r="9" spans="1:11" ht="24.75" customHeight="1">
      <c r="A9" s="117" t="s">
        <v>200</v>
      </c>
      <c r="B9" s="106">
        <v>38000</v>
      </c>
      <c r="C9" s="33">
        <v>19000</v>
      </c>
      <c r="D9" s="11">
        <v>1000</v>
      </c>
      <c r="E9" s="11">
        <v>3000</v>
      </c>
      <c r="F9" s="16" t="s">
        <v>191</v>
      </c>
      <c r="G9" s="16" t="s">
        <v>220</v>
      </c>
      <c r="H9" s="11">
        <v>15000</v>
      </c>
      <c r="I9" s="11">
        <v>7000</v>
      </c>
      <c r="J9" s="11">
        <v>11000</v>
      </c>
    </row>
    <row r="10" spans="1:11" ht="36.75" customHeight="1">
      <c r="A10" s="117" t="s">
        <v>201</v>
      </c>
      <c r="B10" s="132">
        <v>126000</v>
      </c>
      <c r="C10" s="35">
        <v>85000</v>
      </c>
      <c r="D10" s="26" t="s">
        <v>220</v>
      </c>
      <c r="E10" s="25">
        <v>4000</v>
      </c>
      <c r="F10" s="25">
        <v>1000</v>
      </c>
      <c r="G10" s="26" t="s">
        <v>220</v>
      </c>
      <c r="H10" s="25">
        <v>78000</v>
      </c>
      <c r="I10" s="25">
        <v>21000</v>
      </c>
      <c r="J10" s="25">
        <v>20000</v>
      </c>
    </row>
    <row r="11" spans="1:11" ht="36.75" customHeight="1">
      <c r="A11" s="117" t="s">
        <v>202</v>
      </c>
      <c r="B11" s="132">
        <v>406000</v>
      </c>
      <c r="C11" s="36">
        <v>262000</v>
      </c>
      <c r="D11" s="26" t="s">
        <v>191</v>
      </c>
      <c r="E11" s="25">
        <v>147000</v>
      </c>
      <c r="F11" s="26" t="s">
        <v>191</v>
      </c>
      <c r="G11" s="26" t="s">
        <v>220</v>
      </c>
      <c r="H11" s="25">
        <v>113000</v>
      </c>
      <c r="I11" s="25">
        <v>76000</v>
      </c>
      <c r="J11" s="25">
        <v>68000</v>
      </c>
    </row>
    <row r="12" spans="1:11" ht="24.75" customHeight="1">
      <c r="A12" s="117" t="s">
        <v>203</v>
      </c>
      <c r="B12" s="106">
        <v>66000</v>
      </c>
      <c r="C12" s="33">
        <v>31000</v>
      </c>
      <c r="D12" s="16" t="s">
        <v>220</v>
      </c>
      <c r="E12" s="11">
        <v>11000</v>
      </c>
      <c r="F12" s="16" t="s">
        <v>220</v>
      </c>
      <c r="G12" s="16" t="s">
        <v>220</v>
      </c>
      <c r="H12" s="11">
        <v>19000</v>
      </c>
      <c r="I12" s="11">
        <v>12000</v>
      </c>
      <c r="J12" s="11">
        <v>22000</v>
      </c>
    </row>
    <row r="13" spans="1:11" ht="24.75" customHeight="1">
      <c r="A13" s="117" t="s">
        <v>204</v>
      </c>
      <c r="B13" s="106">
        <v>159000</v>
      </c>
      <c r="C13" s="37">
        <v>107000</v>
      </c>
      <c r="D13" s="16" t="s">
        <v>220</v>
      </c>
      <c r="E13" s="11">
        <v>16000</v>
      </c>
      <c r="F13" s="16" t="s">
        <v>222</v>
      </c>
      <c r="G13" s="16" t="s">
        <v>220</v>
      </c>
      <c r="H13" s="11">
        <v>90000</v>
      </c>
      <c r="I13" s="11">
        <v>23000</v>
      </c>
      <c r="J13" s="11">
        <v>30000</v>
      </c>
    </row>
    <row r="14" spans="1:11" ht="24.75" customHeight="1">
      <c r="A14" s="117" t="s">
        <v>205</v>
      </c>
      <c r="B14" s="106">
        <v>188000</v>
      </c>
      <c r="C14" s="37">
        <v>102000</v>
      </c>
      <c r="D14" s="11">
        <v>9000</v>
      </c>
      <c r="E14" s="11">
        <v>13000</v>
      </c>
      <c r="F14" s="11">
        <v>5000</v>
      </c>
      <c r="G14" s="16" t="s">
        <v>220</v>
      </c>
      <c r="H14" s="11">
        <v>76000</v>
      </c>
      <c r="I14" s="11">
        <v>32000</v>
      </c>
      <c r="J14" s="11">
        <v>54000</v>
      </c>
    </row>
    <row r="15" spans="1:11" ht="12.45" customHeight="1">
      <c r="A15" s="115" t="s">
        <v>206</v>
      </c>
      <c r="B15" s="105">
        <v>2080000</v>
      </c>
      <c r="C15" s="34">
        <v>156000</v>
      </c>
      <c r="D15" s="9">
        <v>28000</v>
      </c>
      <c r="E15" s="9">
        <v>72000</v>
      </c>
      <c r="F15" s="9">
        <v>5000</v>
      </c>
      <c r="G15" s="9">
        <v>31000</v>
      </c>
      <c r="H15" s="9">
        <v>20000</v>
      </c>
      <c r="I15" s="9">
        <v>1327000</v>
      </c>
      <c r="J15" s="9">
        <v>598000</v>
      </c>
    </row>
    <row r="16" spans="1:11" ht="12.45" customHeight="1">
      <c r="A16" s="116" t="s">
        <v>207</v>
      </c>
      <c r="B16" s="105">
        <v>1561000</v>
      </c>
      <c r="C16" s="38">
        <v>65000</v>
      </c>
      <c r="D16" s="9">
        <v>23000</v>
      </c>
      <c r="E16" s="9">
        <v>21000</v>
      </c>
      <c r="F16" s="9">
        <v>2000</v>
      </c>
      <c r="G16" s="9">
        <v>18000</v>
      </c>
      <c r="H16" s="13" t="s">
        <v>191</v>
      </c>
      <c r="I16" s="9">
        <v>1102000</v>
      </c>
      <c r="J16" s="9">
        <v>394000</v>
      </c>
    </row>
    <row r="17" spans="1:10" ht="36.75" customHeight="1">
      <c r="A17" s="116" t="s">
        <v>208</v>
      </c>
      <c r="B17" s="132">
        <v>244000</v>
      </c>
      <c r="C17" s="35">
        <v>14000</v>
      </c>
      <c r="D17" s="26" t="s">
        <v>191</v>
      </c>
      <c r="E17" s="25">
        <v>9000</v>
      </c>
      <c r="F17" s="25">
        <v>2000</v>
      </c>
      <c r="G17" s="26" t="s">
        <v>222</v>
      </c>
      <c r="H17" s="26" t="s">
        <v>220</v>
      </c>
      <c r="I17" s="25">
        <v>133000</v>
      </c>
      <c r="J17" s="25">
        <v>97000</v>
      </c>
    </row>
    <row r="18" spans="1:10" ht="24.75" customHeight="1">
      <c r="A18" s="116" t="s">
        <v>209</v>
      </c>
      <c r="B18" s="106">
        <v>86000</v>
      </c>
      <c r="C18" s="33">
        <v>48000</v>
      </c>
      <c r="D18" s="16" t="s">
        <v>220</v>
      </c>
      <c r="E18" s="11">
        <v>37000</v>
      </c>
      <c r="F18" s="16" t="s">
        <v>220</v>
      </c>
      <c r="G18" s="16" t="s">
        <v>191</v>
      </c>
      <c r="H18" s="11">
        <v>10000</v>
      </c>
      <c r="I18" s="11">
        <v>13000</v>
      </c>
      <c r="J18" s="11">
        <v>25000</v>
      </c>
    </row>
    <row r="19" spans="1:10" ht="24.75" customHeight="1">
      <c r="A19" s="116" t="s">
        <v>210</v>
      </c>
      <c r="B19" s="106">
        <v>189000</v>
      </c>
      <c r="C19" s="33">
        <v>28000</v>
      </c>
      <c r="D19" s="16" t="s">
        <v>220</v>
      </c>
      <c r="E19" s="11">
        <v>5000</v>
      </c>
      <c r="F19" s="16" t="s">
        <v>191</v>
      </c>
      <c r="G19" s="11">
        <v>12000</v>
      </c>
      <c r="H19" s="11">
        <v>8000</v>
      </c>
      <c r="I19" s="11">
        <v>80000</v>
      </c>
      <c r="J19" s="11">
        <v>81000</v>
      </c>
    </row>
    <row r="20" spans="1:10" ht="12.45" customHeight="1">
      <c r="A20" s="115" t="s">
        <v>211</v>
      </c>
      <c r="B20" s="105">
        <v>8928000</v>
      </c>
      <c r="C20" s="34">
        <v>584000</v>
      </c>
      <c r="D20" s="9">
        <v>23000</v>
      </c>
      <c r="E20" s="9">
        <v>364000</v>
      </c>
      <c r="F20" s="9">
        <v>11000</v>
      </c>
      <c r="G20" s="9">
        <v>77000</v>
      </c>
      <c r="H20" s="9">
        <v>109000</v>
      </c>
      <c r="I20" s="9">
        <v>699000</v>
      </c>
      <c r="J20" s="9">
        <v>7644000</v>
      </c>
    </row>
    <row r="21" spans="1:10" ht="36.75" customHeight="1">
      <c r="A21" s="116" t="s">
        <v>212</v>
      </c>
      <c r="B21" s="132">
        <v>3311000</v>
      </c>
      <c r="C21" s="36">
        <v>349000</v>
      </c>
      <c r="D21" s="25">
        <v>4000</v>
      </c>
      <c r="E21" s="25">
        <v>231000</v>
      </c>
      <c r="F21" s="25">
        <v>3000</v>
      </c>
      <c r="G21" s="25">
        <v>17000</v>
      </c>
      <c r="H21" s="25">
        <v>95000</v>
      </c>
      <c r="I21" s="25">
        <v>262000</v>
      </c>
      <c r="J21" s="25">
        <v>2700000</v>
      </c>
    </row>
    <row r="22" spans="1:10" ht="36.75" customHeight="1">
      <c r="A22" s="116" t="s">
        <v>213</v>
      </c>
      <c r="B22" s="132">
        <v>2888000</v>
      </c>
      <c r="C22" s="35">
        <v>53000</v>
      </c>
      <c r="D22" s="25">
        <v>1000</v>
      </c>
      <c r="E22" s="25">
        <v>34000</v>
      </c>
      <c r="F22" s="26" t="s">
        <v>191</v>
      </c>
      <c r="G22" s="25">
        <v>13000</v>
      </c>
      <c r="H22" s="26" t="s">
        <v>191</v>
      </c>
      <c r="I22" s="25">
        <v>285000</v>
      </c>
      <c r="J22" s="25">
        <v>2550000</v>
      </c>
    </row>
    <row r="23" spans="1:10" ht="24.75" customHeight="1">
      <c r="A23" s="116" t="s">
        <v>214</v>
      </c>
      <c r="B23" s="106">
        <v>841000</v>
      </c>
      <c r="C23" s="33">
        <v>39000</v>
      </c>
      <c r="D23" s="16" t="s">
        <v>220</v>
      </c>
      <c r="E23" s="16" t="s">
        <v>191</v>
      </c>
      <c r="F23" s="16" t="s">
        <v>220</v>
      </c>
      <c r="G23" s="11">
        <v>16000</v>
      </c>
      <c r="H23" s="11">
        <v>1000</v>
      </c>
      <c r="I23" s="11">
        <v>45000</v>
      </c>
      <c r="J23" s="11">
        <v>757000</v>
      </c>
    </row>
    <row r="24" spans="1:10" ht="24.75" customHeight="1">
      <c r="A24" s="116" t="s">
        <v>215</v>
      </c>
      <c r="B24" s="106">
        <v>210000</v>
      </c>
      <c r="C24" s="33">
        <v>17000</v>
      </c>
      <c r="D24" s="16" t="s">
        <v>220</v>
      </c>
      <c r="E24" s="11">
        <v>15000</v>
      </c>
      <c r="F24" s="16" t="s">
        <v>220</v>
      </c>
      <c r="G24" s="16" t="s">
        <v>220</v>
      </c>
      <c r="H24" s="16" t="s">
        <v>220</v>
      </c>
      <c r="I24" s="11">
        <v>11000</v>
      </c>
      <c r="J24" s="11">
        <v>183000</v>
      </c>
    </row>
    <row r="25" spans="1:10" ht="24.75" customHeight="1">
      <c r="A25" s="116" t="s">
        <v>216</v>
      </c>
      <c r="B25" s="106">
        <v>740000</v>
      </c>
      <c r="C25" s="33">
        <v>38000</v>
      </c>
      <c r="D25" s="16" t="s">
        <v>220</v>
      </c>
      <c r="E25" s="11">
        <v>27000</v>
      </c>
      <c r="F25" s="16" t="s">
        <v>220</v>
      </c>
      <c r="G25" s="11">
        <v>8000</v>
      </c>
      <c r="H25" s="11">
        <v>3000</v>
      </c>
      <c r="I25" s="11">
        <v>48000</v>
      </c>
      <c r="J25" s="11">
        <v>654000</v>
      </c>
    </row>
    <row r="26" spans="1:10" ht="24.75" customHeight="1">
      <c r="A26" s="116" t="s">
        <v>217</v>
      </c>
      <c r="B26" s="106">
        <v>938000</v>
      </c>
      <c r="C26" s="33">
        <v>89000</v>
      </c>
      <c r="D26" s="11">
        <v>18000</v>
      </c>
      <c r="E26" s="11">
        <v>37000</v>
      </c>
      <c r="F26" s="11">
        <v>5000</v>
      </c>
      <c r="G26" s="11">
        <v>23000</v>
      </c>
      <c r="H26" s="11">
        <v>6000</v>
      </c>
      <c r="I26" s="11">
        <v>49000</v>
      </c>
      <c r="J26" s="11">
        <v>800000</v>
      </c>
    </row>
    <row r="27" spans="1:10" ht="12.45" customHeight="1">
      <c r="A27" s="135" t="s">
        <v>221</v>
      </c>
      <c r="B27" s="136">
        <v>2141000</v>
      </c>
      <c r="C27" s="147">
        <v>962000</v>
      </c>
      <c r="D27" s="137">
        <v>291000</v>
      </c>
      <c r="E27" s="137">
        <v>185000</v>
      </c>
      <c r="F27" s="137">
        <v>125000</v>
      </c>
      <c r="G27" s="137">
        <v>221000</v>
      </c>
      <c r="H27" s="137">
        <v>141000</v>
      </c>
      <c r="I27" s="137">
        <v>374000</v>
      </c>
      <c r="J27" s="137">
        <v>805000</v>
      </c>
    </row>
    <row r="28" spans="1:10" ht="12.45" customHeight="1">
      <c r="A28" s="138" t="s">
        <v>178</v>
      </c>
      <c r="B28" s="105">
        <v>1302000</v>
      </c>
      <c r="C28" s="34">
        <v>861000</v>
      </c>
      <c r="D28" s="9">
        <v>256000</v>
      </c>
      <c r="E28" s="9">
        <v>167000</v>
      </c>
      <c r="F28" s="9">
        <v>122000</v>
      </c>
      <c r="G28" s="9">
        <v>181000</v>
      </c>
      <c r="H28" s="9">
        <v>134000</v>
      </c>
      <c r="I28" s="9">
        <v>157000</v>
      </c>
      <c r="J28" s="9">
        <v>285000</v>
      </c>
    </row>
  </sheetData>
  <mergeCells count="6">
    <mergeCell ref="A1:K1"/>
    <mergeCell ref="A3:A4"/>
    <mergeCell ref="B3:B4"/>
    <mergeCell ref="C3:H3"/>
    <mergeCell ref="I3:I4"/>
    <mergeCell ref="J3:J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6"/>
  <sheetViews>
    <sheetView topLeftCell="A18" workbookViewId="0">
      <selection activeCell="A5" sqref="A5:J26"/>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39" customHeight="1">
      <c r="A1" s="314" t="s">
        <v>226</v>
      </c>
      <c r="B1" s="314"/>
      <c r="C1" s="314"/>
      <c r="D1" s="314"/>
      <c r="E1" s="314"/>
      <c r="F1" s="314"/>
      <c r="G1" s="314"/>
      <c r="H1" s="314"/>
      <c r="I1" s="314"/>
      <c r="J1" s="314"/>
      <c r="K1" s="314"/>
    </row>
    <row r="2" spans="1:11" ht="1.95" customHeight="1"/>
    <row r="3" spans="1:11" ht="13.95" customHeight="1">
      <c r="A3" s="339" t="s">
        <v>166</v>
      </c>
      <c r="B3" s="328" t="s">
        <v>167</v>
      </c>
      <c r="C3" s="330" t="s">
        <v>174</v>
      </c>
      <c r="D3" s="331"/>
      <c r="E3" s="331"/>
      <c r="F3" s="331"/>
      <c r="G3" s="331"/>
      <c r="H3" s="332"/>
      <c r="I3" s="339" t="s">
        <v>175</v>
      </c>
      <c r="J3" s="339" t="s">
        <v>176</v>
      </c>
    </row>
    <row r="4" spans="1:11" ht="50.25" customHeight="1">
      <c r="A4" s="340"/>
      <c r="B4" s="329"/>
      <c r="C4" s="22" t="s">
        <v>167</v>
      </c>
      <c r="D4" s="23" t="s">
        <v>227</v>
      </c>
      <c r="E4" s="23" t="s">
        <v>228</v>
      </c>
      <c r="F4" s="23" t="s">
        <v>229</v>
      </c>
      <c r="G4" s="23" t="s">
        <v>230</v>
      </c>
      <c r="H4" s="24" t="s">
        <v>231</v>
      </c>
      <c r="I4" s="341"/>
      <c r="J4" s="341"/>
    </row>
    <row r="5" spans="1:11" ht="49.5" customHeight="1">
      <c r="A5" s="139" t="s">
        <v>179</v>
      </c>
      <c r="B5" s="134">
        <v>380000</v>
      </c>
      <c r="C5" s="27">
        <v>240000</v>
      </c>
      <c r="D5" s="27">
        <v>213000</v>
      </c>
      <c r="E5" s="27">
        <v>14000</v>
      </c>
      <c r="F5" s="27">
        <v>9000</v>
      </c>
      <c r="G5" s="27">
        <v>3000</v>
      </c>
      <c r="H5" s="27">
        <v>1000</v>
      </c>
      <c r="I5" s="27">
        <v>74000</v>
      </c>
      <c r="J5" s="27">
        <v>66000</v>
      </c>
      <c r="K5" s="102"/>
    </row>
    <row r="6" spans="1:11" ht="24.75" customHeight="1">
      <c r="A6" s="140" t="s">
        <v>180</v>
      </c>
      <c r="B6" s="106">
        <v>23000</v>
      </c>
      <c r="C6" s="11">
        <v>14000</v>
      </c>
      <c r="D6" s="11">
        <v>13000</v>
      </c>
      <c r="E6" s="16" t="s">
        <v>222</v>
      </c>
      <c r="F6" s="16" t="s">
        <v>220</v>
      </c>
      <c r="G6" s="16" t="s">
        <v>220</v>
      </c>
      <c r="H6" s="16" t="s">
        <v>220</v>
      </c>
      <c r="I6" s="11">
        <v>1000</v>
      </c>
      <c r="J6" s="11">
        <v>8000</v>
      </c>
      <c r="K6" s="102"/>
    </row>
    <row r="7" spans="1:11" ht="24.75" customHeight="1">
      <c r="A7" s="140" t="s">
        <v>181</v>
      </c>
      <c r="B7" s="106">
        <v>350000</v>
      </c>
      <c r="C7" s="11">
        <v>221000</v>
      </c>
      <c r="D7" s="11">
        <v>198000</v>
      </c>
      <c r="E7" s="11">
        <v>14000</v>
      </c>
      <c r="F7" s="11">
        <v>7000</v>
      </c>
      <c r="G7" s="11">
        <v>3000</v>
      </c>
      <c r="H7" s="16" t="s">
        <v>191</v>
      </c>
      <c r="I7" s="11">
        <v>72000</v>
      </c>
      <c r="J7" s="11">
        <v>56000</v>
      </c>
    </row>
    <row r="8" spans="1:11" ht="24.75" customHeight="1">
      <c r="A8" s="140" t="s">
        <v>182</v>
      </c>
      <c r="B8" s="106">
        <v>7000</v>
      </c>
      <c r="C8" s="11">
        <v>5000</v>
      </c>
      <c r="D8" s="16" t="s">
        <v>191</v>
      </c>
      <c r="E8" s="16" t="s">
        <v>220</v>
      </c>
      <c r="F8" s="11">
        <v>2000</v>
      </c>
      <c r="G8" s="11">
        <v>1000</v>
      </c>
      <c r="H8" s="16" t="s">
        <v>220</v>
      </c>
      <c r="I8" s="16" t="s">
        <v>222</v>
      </c>
      <c r="J8" s="16" t="s">
        <v>191</v>
      </c>
    </row>
    <row r="9" spans="1:11" ht="36.75" customHeight="1">
      <c r="A9" s="139" t="s">
        <v>183</v>
      </c>
      <c r="B9" s="132">
        <v>127000</v>
      </c>
      <c r="C9" s="25">
        <v>98000</v>
      </c>
      <c r="D9" s="25">
        <v>4000</v>
      </c>
      <c r="E9" s="25">
        <v>89000</v>
      </c>
      <c r="F9" s="26" t="s">
        <v>191</v>
      </c>
      <c r="G9" s="25">
        <v>1000</v>
      </c>
      <c r="H9" s="25">
        <v>2000</v>
      </c>
      <c r="I9" s="25">
        <v>10000</v>
      </c>
      <c r="J9" s="25">
        <v>19000</v>
      </c>
    </row>
    <row r="10" spans="1:11" ht="36.75" customHeight="1">
      <c r="A10" s="140" t="s">
        <v>184</v>
      </c>
      <c r="B10" s="132">
        <v>68000</v>
      </c>
      <c r="C10" s="25">
        <v>51000</v>
      </c>
      <c r="D10" s="26" t="s">
        <v>191</v>
      </c>
      <c r="E10" s="25">
        <v>46000</v>
      </c>
      <c r="F10" s="26" t="s">
        <v>220</v>
      </c>
      <c r="G10" s="26" t="s">
        <v>222</v>
      </c>
      <c r="H10" s="26" t="s">
        <v>191</v>
      </c>
      <c r="I10" s="25">
        <v>7000</v>
      </c>
      <c r="J10" s="25">
        <v>10000</v>
      </c>
    </row>
    <row r="11" spans="1:11" ht="24.75" customHeight="1">
      <c r="A11" s="140" t="s">
        <v>185</v>
      </c>
      <c r="B11" s="106">
        <v>59000</v>
      </c>
      <c r="C11" s="11">
        <v>47000</v>
      </c>
      <c r="D11" s="16" t="s">
        <v>191</v>
      </c>
      <c r="E11" s="11">
        <v>44000</v>
      </c>
      <c r="F11" s="16" t="s">
        <v>222</v>
      </c>
      <c r="G11" s="16" t="s">
        <v>220</v>
      </c>
      <c r="H11" s="16" t="s">
        <v>191</v>
      </c>
      <c r="I11" s="11">
        <v>3000</v>
      </c>
      <c r="J11" s="11">
        <v>9000</v>
      </c>
    </row>
    <row r="12" spans="1:11" ht="24.75" customHeight="1">
      <c r="A12" s="139" t="s">
        <v>186</v>
      </c>
      <c r="B12" s="106">
        <v>215000</v>
      </c>
      <c r="C12" s="11">
        <v>155000</v>
      </c>
      <c r="D12" s="11">
        <v>19000</v>
      </c>
      <c r="E12" s="11">
        <v>20000</v>
      </c>
      <c r="F12" s="11">
        <v>100000</v>
      </c>
      <c r="G12" s="16" t="s">
        <v>220</v>
      </c>
      <c r="H12" s="11">
        <v>16000</v>
      </c>
      <c r="I12" s="11">
        <v>20000</v>
      </c>
      <c r="J12" s="11">
        <v>40000</v>
      </c>
    </row>
    <row r="13" spans="1:11" ht="36.75" customHeight="1">
      <c r="A13" s="140" t="s">
        <v>187</v>
      </c>
      <c r="B13" s="132">
        <v>97000</v>
      </c>
      <c r="C13" s="25">
        <v>68000</v>
      </c>
      <c r="D13" s="25">
        <v>13000</v>
      </c>
      <c r="E13" s="25">
        <v>7000</v>
      </c>
      <c r="F13" s="25">
        <v>42000</v>
      </c>
      <c r="G13" s="26" t="s">
        <v>220</v>
      </c>
      <c r="H13" s="25">
        <v>6000</v>
      </c>
      <c r="I13" s="25">
        <v>9000</v>
      </c>
      <c r="J13" s="25">
        <v>21000</v>
      </c>
    </row>
    <row r="14" spans="1:11" ht="49.5" customHeight="1">
      <c r="A14" s="140" t="s">
        <v>188</v>
      </c>
      <c r="B14" s="132">
        <v>33000</v>
      </c>
      <c r="C14" s="25">
        <v>27000</v>
      </c>
      <c r="D14" s="25">
        <v>3000</v>
      </c>
      <c r="E14" s="25">
        <v>1000</v>
      </c>
      <c r="F14" s="25">
        <v>23000</v>
      </c>
      <c r="G14" s="26" t="s">
        <v>220</v>
      </c>
      <c r="H14" s="26" t="s">
        <v>222</v>
      </c>
      <c r="I14" s="26" t="s">
        <v>191</v>
      </c>
      <c r="J14" s="25">
        <v>4000</v>
      </c>
    </row>
    <row r="15" spans="1:11" ht="24.75" customHeight="1">
      <c r="A15" s="140" t="s">
        <v>189</v>
      </c>
      <c r="B15" s="106">
        <v>82000</v>
      </c>
      <c r="C15" s="11">
        <v>59000</v>
      </c>
      <c r="D15" s="11">
        <v>2000</v>
      </c>
      <c r="E15" s="11">
        <v>13000</v>
      </c>
      <c r="F15" s="11">
        <v>35000</v>
      </c>
      <c r="G15" s="16" t="s">
        <v>220</v>
      </c>
      <c r="H15" s="11">
        <v>9000</v>
      </c>
      <c r="I15" s="11">
        <v>9000</v>
      </c>
      <c r="J15" s="11">
        <v>15000</v>
      </c>
    </row>
    <row r="16" spans="1:11" ht="24.75" customHeight="1">
      <c r="A16" s="140" t="s">
        <v>190</v>
      </c>
      <c r="B16" s="106">
        <v>2000</v>
      </c>
      <c r="C16" s="11">
        <v>1000</v>
      </c>
      <c r="D16" s="16" t="s">
        <v>220</v>
      </c>
      <c r="E16" s="16" t="s">
        <v>220</v>
      </c>
      <c r="F16" s="16" t="s">
        <v>220</v>
      </c>
      <c r="G16" s="16" t="s">
        <v>220</v>
      </c>
      <c r="H16" s="16" t="s">
        <v>220</v>
      </c>
      <c r="I16" s="16" t="s">
        <v>220</v>
      </c>
      <c r="J16" s="16" t="s">
        <v>220</v>
      </c>
    </row>
    <row r="17" spans="1:10" ht="24.75" customHeight="1">
      <c r="A17" s="139" t="s">
        <v>192</v>
      </c>
      <c r="B17" s="106">
        <v>325000</v>
      </c>
      <c r="C17" s="11">
        <v>196000</v>
      </c>
      <c r="D17" s="11">
        <v>9000</v>
      </c>
      <c r="E17" s="11">
        <v>9000</v>
      </c>
      <c r="F17" s="11">
        <v>1000</v>
      </c>
      <c r="G17" s="11">
        <v>177000</v>
      </c>
      <c r="H17" s="16" t="s">
        <v>220</v>
      </c>
      <c r="I17" s="11">
        <v>19000</v>
      </c>
      <c r="J17" s="11">
        <v>110000</v>
      </c>
    </row>
    <row r="18" spans="1:10" ht="12.45" customHeight="1">
      <c r="A18" s="148" t="s">
        <v>193</v>
      </c>
      <c r="B18" s="105">
        <v>42000</v>
      </c>
      <c r="C18" s="9">
        <v>26000</v>
      </c>
      <c r="D18" s="13" t="s">
        <v>220</v>
      </c>
      <c r="E18" s="9">
        <v>1000</v>
      </c>
      <c r="F18" s="13" t="s">
        <v>220</v>
      </c>
      <c r="G18" s="9">
        <v>24000</v>
      </c>
      <c r="H18" s="13" t="s">
        <v>220</v>
      </c>
      <c r="I18" s="13" t="s">
        <v>191</v>
      </c>
      <c r="J18" s="9">
        <v>15000</v>
      </c>
    </row>
    <row r="19" spans="1:10" ht="24.75" customHeight="1">
      <c r="A19" s="140" t="s">
        <v>194</v>
      </c>
      <c r="B19" s="106">
        <v>32000</v>
      </c>
      <c r="C19" s="11">
        <v>16000</v>
      </c>
      <c r="D19" s="16" t="s">
        <v>220</v>
      </c>
      <c r="E19" s="16" t="s">
        <v>191</v>
      </c>
      <c r="F19" s="16" t="s">
        <v>220</v>
      </c>
      <c r="G19" s="11">
        <v>16000</v>
      </c>
      <c r="H19" s="16" t="s">
        <v>220</v>
      </c>
      <c r="I19" s="16" t="s">
        <v>191</v>
      </c>
      <c r="J19" s="11">
        <v>14000</v>
      </c>
    </row>
    <row r="20" spans="1:10" ht="12.45" customHeight="1">
      <c r="A20" s="149" t="s">
        <v>195</v>
      </c>
      <c r="B20" s="105">
        <v>165000</v>
      </c>
      <c r="C20" s="9">
        <v>105000</v>
      </c>
      <c r="D20" s="9">
        <v>3000</v>
      </c>
      <c r="E20" s="9">
        <v>3000</v>
      </c>
      <c r="F20" s="13" t="s">
        <v>220</v>
      </c>
      <c r="G20" s="9">
        <v>98000</v>
      </c>
      <c r="H20" s="13" t="s">
        <v>220</v>
      </c>
      <c r="I20" s="9">
        <v>15000</v>
      </c>
      <c r="J20" s="9">
        <v>46000</v>
      </c>
    </row>
    <row r="21" spans="1:10" ht="24.75" customHeight="1">
      <c r="A21" s="140" t="s">
        <v>196</v>
      </c>
      <c r="B21" s="106">
        <v>46000</v>
      </c>
      <c r="C21" s="11">
        <v>36000</v>
      </c>
      <c r="D21" s="11">
        <v>1000</v>
      </c>
      <c r="E21" s="16" t="s">
        <v>191</v>
      </c>
      <c r="F21" s="16" t="s">
        <v>220</v>
      </c>
      <c r="G21" s="11">
        <v>33000</v>
      </c>
      <c r="H21" s="16" t="s">
        <v>220</v>
      </c>
      <c r="I21" s="16" t="s">
        <v>220</v>
      </c>
      <c r="J21" s="11">
        <v>10000</v>
      </c>
    </row>
    <row r="22" spans="1:10" ht="24.75" customHeight="1">
      <c r="A22" s="140" t="s">
        <v>197</v>
      </c>
      <c r="B22" s="106">
        <v>40000</v>
      </c>
      <c r="C22" s="11">
        <v>14000</v>
      </c>
      <c r="D22" s="11">
        <v>4000</v>
      </c>
      <c r="E22" s="16" t="s">
        <v>191</v>
      </c>
      <c r="F22" s="11">
        <v>1000</v>
      </c>
      <c r="G22" s="11">
        <v>6000</v>
      </c>
      <c r="H22" s="16" t="s">
        <v>220</v>
      </c>
      <c r="I22" s="16" t="s">
        <v>191</v>
      </c>
      <c r="J22" s="11">
        <v>26000</v>
      </c>
    </row>
    <row r="23" spans="1:10" ht="12.45" customHeight="1">
      <c r="A23" s="148" t="s">
        <v>198</v>
      </c>
      <c r="B23" s="105">
        <v>256000</v>
      </c>
      <c r="C23" s="9">
        <v>171000</v>
      </c>
      <c r="D23" s="9">
        <v>12000</v>
      </c>
      <c r="E23" s="9">
        <v>34000</v>
      </c>
      <c r="F23" s="9">
        <v>11000</v>
      </c>
      <c r="G23" s="13" t="s">
        <v>222</v>
      </c>
      <c r="H23" s="9">
        <v>114000</v>
      </c>
      <c r="I23" s="9">
        <v>34000</v>
      </c>
      <c r="J23" s="9">
        <v>50000</v>
      </c>
    </row>
    <row r="24" spans="1:10" ht="61.5" customHeight="1">
      <c r="A24" s="140" t="s">
        <v>199</v>
      </c>
      <c r="B24" s="132">
        <v>11000</v>
      </c>
      <c r="C24" s="25">
        <v>7000</v>
      </c>
      <c r="D24" s="26" t="s">
        <v>220</v>
      </c>
      <c r="E24" s="26" t="s">
        <v>191</v>
      </c>
      <c r="F24" s="26" t="s">
        <v>220</v>
      </c>
      <c r="G24" s="26" t="s">
        <v>220</v>
      </c>
      <c r="H24" s="25">
        <v>6000</v>
      </c>
      <c r="I24" s="26" t="s">
        <v>191</v>
      </c>
      <c r="J24" s="26" t="s">
        <v>191</v>
      </c>
    </row>
    <row r="25" spans="1:10" ht="24.75" customHeight="1">
      <c r="A25" s="140" t="s">
        <v>200</v>
      </c>
      <c r="B25" s="106">
        <v>30000</v>
      </c>
      <c r="C25" s="11">
        <v>17000</v>
      </c>
      <c r="D25" s="11">
        <v>3000</v>
      </c>
      <c r="E25" s="16" t="s">
        <v>191</v>
      </c>
      <c r="F25" s="16" t="s">
        <v>191</v>
      </c>
      <c r="G25" s="16" t="s">
        <v>220</v>
      </c>
      <c r="H25" s="11">
        <v>9000</v>
      </c>
      <c r="I25" s="11">
        <v>5000</v>
      </c>
      <c r="J25" s="11">
        <v>8000</v>
      </c>
    </row>
    <row r="26" spans="1:10" ht="36.75" customHeight="1">
      <c r="A26" s="140" t="s">
        <v>201</v>
      </c>
      <c r="B26" s="132">
        <v>22000</v>
      </c>
      <c r="C26" s="25">
        <v>17000</v>
      </c>
      <c r="D26" s="26" t="s">
        <v>220</v>
      </c>
      <c r="E26" s="25">
        <v>1000</v>
      </c>
      <c r="F26" s="26" t="s">
        <v>220</v>
      </c>
      <c r="G26" s="26" t="s">
        <v>220</v>
      </c>
      <c r="H26" s="25">
        <v>16000</v>
      </c>
      <c r="I26" s="25">
        <v>1000</v>
      </c>
      <c r="J26" s="25">
        <v>3000</v>
      </c>
    </row>
  </sheetData>
  <mergeCells count="6">
    <mergeCell ref="A1:K1"/>
    <mergeCell ref="A3:A4"/>
    <mergeCell ref="B3:B4"/>
    <mergeCell ref="C3:H3"/>
    <mergeCell ref="I3:I4"/>
    <mergeCell ref="J3:J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6"/>
  <sheetViews>
    <sheetView topLeftCell="A12" workbookViewId="0">
      <selection activeCell="A4" sqref="A4:K25"/>
    </sheetView>
  </sheetViews>
  <sheetFormatPr defaultRowHeight="13.2"/>
  <cols>
    <col min="1" max="1" width="21.33203125" customWidth="1"/>
    <col min="2" max="2" width="10.77734375" customWidth="1"/>
    <col min="3" max="3" width="10" customWidth="1"/>
    <col min="4" max="4" width="13.109375" customWidth="1"/>
    <col min="5" max="5" width="14.109375" customWidth="1"/>
    <col min="6" max="7" width="10.44140625" customWidth="1"/>
    <col min="8" max="8" width="10" customWidth="1"/>
    <col min="9" max="10" width="12.109375" customWidth="1"/>
    <col min="11" max="11" width="16.77734375" customWidth="1"/>
  </cols>
  <sheetData>
    <row r="1" spans="1:11" ht="42.75" customHeight="1">
      <c r="A1" s="314" t="s">
        <v>226</v>
      </c>
      <c r="B1" s="314"/>
      <c r="C1" s="314"/>
      <c r="D1" s="314"/>
      <c r="E1" s="314"/>
      <c r="F1" s="314"/>
      <c r="G1" s="314"/>
      <c r="H1" s="314"/>
      <c r="I1" s="314"/>
      <c r="J1" s="314"/>
      <c r="K1" s="314"/>
    </row>
    <row r="2" spans="1:11" ht="13.95" customHeight="1">
      <c r="A2" s="339" t="s">
        <v>166</v>
      </c>
      <c r="B2" s="328" t="s">
        <v>167</v>
      </c>
      <c r="C2" s="330" t="s">
        <v>174</v>
      </c>
      <c r="D2" s="331"/>
      <c r="E2" s="331"/>
      <c r="F2" s="331"/>
      <c r="G2" s="331"/>
      <c r="H2" s="332"/>
      <c r="I2" s="339" t="s">
        <v>175</v>
      </c>
      <c r="J2" s="339" t="s">
        <v>176</v>
      </c>
    </row>
    <row r="3" spans="1:11" ht="50.25" customHeight="1">
      <c r="A3" s="340"/>
      <c r="B3" s="329"/>
      <c r="C3" s="22" t="s">
        <v>167</v>
      </c>
      <c r="D3" s="23" t="s">
        <v>227</v>
      </c>
      <c r="E3" s="23" t="s">
        <v>228</v>
      </c>
      <c r="F3" s="23" t="s">
        <v>229</v>
      </c>
      <c r="G3" s="23" t="s">
        <v>230</v>
      </c>
      <c r="H3" s="24" t="s">
        <v>231</v>
      </c>
      <c r="I3" s="341"/>
      <c r="J3" s="341"/>
    </row>
    <row r="4" spans="1:11" ht="36.75" customHeight="1">
      <c r="A4" s="140" t="s">
        <v>202</v>
      </c>
      <c r="B4" s="134">
        <v>79000</v>
      </c>
      <c r="C4" s="27">
        <v>54000</v>
      </c>
      <c r="D4" s="28" t="s">
        <v>222</v>
      </c>
      <c r="E4" s="27">
        <v>20000</v>
      </c>
      <c r="F4" s="27">
        <v>1000</v>
      </c>
      <c r="G4" s="28" t="s">
        <v>220</v>
      </c>
      <c r="H4" s="27">
        <v>32000</v>
      </c>
      <c r="I4" s="27">
        <v>13000</v>
      </c>
      <c r="J4" s="27">
        <v>12000</v>
      </c>
    </row>
    <row r="5" spans="1:11" ht="24.75" customHeight="1">
      <c r="A5" s="140" t="s">
        <v>203</v>
      </c>
      <c r="B5" s="106">
        <v>11000</v>
      </c>
      <c r="C5" s="11">
        <v>5000</v>
      </c>
      <c r="D5" s="16" t="s">
        <v>220</v>
      </c>
      <c r="E5" s="11">
        <v>4000</v>
      </c>
      <c r="F5" s="16" t="s">
        <v>220</v>
      </c>
      <c r="G5" s="16" t="s">
        <v>220</v>
      </c>
      <c r="H5" s="11">
        <v>2000</v>
      </c>
      <c r="I5" s="16" t="s">
        <v>191</v>
      </c>
      <c r="J5" s="11">
        <v>4000</v>
      </c>
    </row>
    <row r="6" spans="1:11" ht="24.75" customHeight="1">
      <c r="A6" s="140" t="s">
        <v>204</v>
      </c>
      <c r="B6" s="106">
        <v>29000</v>
      </c>
      <c r="C6" s="11">
        <v>21000</v>
      </c>
      <c r="D6" s="16" t="s">
        <v>191</v>
      </c>
      <c r="E6" s="11">
        <v>2000</v>
      </c>
      <c r="F6" s="16" t="s">
        <v>220</v>
      </c>
      <c r="G6" s="16" t="s">
        <v>220</v>
      </c>
      <c r="H6" s="11">
        <v>18000</v>
      </c>
      <c r="I6" s="11">
        <v>2000</v>
      </c>
      <c r="J6" s="11">
        <v>6000</v>
      </c>
    </row>
    <row r="7" spans="1:11" ht="24.75" customHeight="1">
      <c r="A7" s="140" t="s">
        <v>205</v>
      </c>
      <c r="B7" s="106">
        <v>75000</v>
      </c>
      <c r="C7" s="11">
        <v>51000</v>
      </c>
      <c r="D7" s="11">
        <v>7000</v>
      </c>
      <c r="E7" s="11">
        <v>6000</v>
      </c>
      <c r="F7" s="11">
        <v>5000</v>
      </c>
      <c r="G7" s="16" t="s">
        <v>220</v>
      </c>
      <c r="H7" s="11">
        <v>32000</v>
      </c>
      <c r="I7" s="11">
        <v>9000</v>
      </c>
      <c r="J7" s="11">
        <v>16000</v>
      </c>
    </row>
    <row r="8" spans="1:11" ht="12.45" customHeight="1">
      <c r="A8" s="150" t="s">
        <v>206</v>
      </c>
      <c r="B8" s="105">
        <v>304000</v>
      </c>
      <c r="C8" s="9">
        <v>51000</v>
      </c>
      <c r="D8" s="9">
        <v>31000</v>
      </c>
      <c r="E8" s="9">
        <v>8000</v>
      </c>
      <c r="F8" s="9">
        <v>2000</v>
      </c>
      <c r="G8" s="9">
        <v>6000</v>
      </c>
      <c r="H8" s="9">
        <v>4000</v>
      </c>
      <c r="I8" s="9">
        <v>192000</v>
      </c>
      <c r="J8" s="9">
        <v>61000</v>
      </c>
    </row>
    <row r="9" spans="1:11" ht="12.45" customHeight="1">
      <c r="A9" s="139" t="s">
        <v>207</v>
      </c>
      <c r="B9" s="105">
        <v>275000</v>
      </c>
      <c r="C9" s="9">
        <v>40000</v>
      </c>
      <c r="D9" s="9">
        <v>30000</v>
      </c>
      <c r="E9" s="9">
        <v>3000</v>
      </c>
      <c r="F9" s="9">
        <v>2000</v>
      </c>
      <c r="G9" s="9">
        <v>3000</v>
      </c>
      <c r="H9" s="13" t="s">
        <v>220</v>
      </c>
      <c r="I9" s="9">
        <v>189000</v>
      </c>
      <c r="J9" s="9">
        <v>46000</v>
      </c>
    </row>
    <row r="10" spans="1:11" ht="36.75" customHeight="1">
      <c r="A10" s="139" t="s">
        <v>208</v>
      </c>
      <c r="B10" s="132">
        <v>14000</v>
      </c>
      <c r="C10" s="25">
        <v>5000</v>
      </c>
      <c r="D10" s="26" t="s">
        <v>220</v>
      </c>
      <c r="E10" s="25">
        <v>3000</v>
      </c>
      <c r="F10" s="26" t="s">
        <v>220</v>
      </c>
      <c r="G10" s="26" t="s">
        <v>191</v>
      </c>
      <c r="H10" s="26" t="s">
        <v>220</v>
      </c>
      <c r="I10" s="25">
        <v>1000</v>
      </c>
      <c r="J10" s="25">
        <v>8000</v>
      </c>
    </row>
    <row r="11" spans="1:11" ht="24.75" customHeight="1">
      <c r="A11" s="139" t="s">
        <v>209</v>
      </c>
      <c r="B11" s="106">
        <v>9000</v>
      </c>
      <c r="C11" s="11">
        <v>5000</v>
      </c>
      <c r="D11" s="16" t="s">
        <v>220</v>
      </c>
      <c r="E11" s="16" t="s">
        <v>191</v>
      </c>
      <c r="F11" s="16" t="s">
        <v>220</v>
      </c>
      <c r="G11" s="16" t="s">
        <v>220</v>
      </c>
      <c r="H11" s="11">
        <v>3000</v>
      </c>
      <c r="I11" s="11">
        <v>2000</v>
      </c>
      <c r="J11" s="16" t="s">
        <v>191</v>
      </c>
    </row>
    <row r="12" spans="1:11" ht="24.75" customHeight="1">
      <c r="A12" s="139" t="s">
        <v>210</v>
      </c>
      <c r="B12" s="106">
        <v>7000</v>
      </c>
      <c r="C12" s="11">
        <v>2000</v>
      </c>
      <c r="D12" s="16" t="s">
        <v>220</v>
      </c>
      <c r="E12" s="16" t="s">
        <v>220</v>
      </c>
      <c r="F12" s="16" t="s">
        <v>220</v>
      </c>
      <c r="G12" s="11">
        <v>1000</v>
      </c>
      <c r="H12" s="16" t="s">
        <v>220</v>
      </c>
      <c r="I12" s="16" t="s">
        <v>220</v>
      </c>
      <c r="J12" s="11">
        <v>4000</v>
      </c>
    </row>
    <row r="13" spans="1:11" ht="12.45" customHeight="1">
      <c r="A13" s="138" t="s">
        <v>211</v>
      </c>
      <c r="B13" s="105">
        <v>534000</v>
      </c>
      <c r="C13" s="9">
        <v>50000</v>
      </c>
      <c r="D13" s="9">
        <v>4000</v>
      </c>
      <c r="E13" s="9">
        <v>10000</v>
      </c>
      <c r="F13" s="13" t="s">
        <v>222</v>
      </c>
      <c r="G13" s="9">
        <v>34000</v>
      </c>
      <c r="H13" s="9">
        <v>3000</v>
      </c>
      <c r="I13" s="9">
        <v>25000</v>
      </c>
      <c r="J13" s="9">
        <v>459000</v>
      </c>
    </row>
    <row r="14" spans="1:11" ht="36.75" customHeight="1">
      <c r="A14" s="139" t="s">
        <v>212</v>
      </c>
      <c r="B14" s="132">
        <v>56000</v>
      </c>
      <c r="C14" s="25">
        <v>6000</v>
      </c>
      <c r="D14" s="26" t="s">
        <v>220</v>
      </c>
      <c r="E14" s="25">
        <v>2000</v>
      </c>
      <c r="F14" s="26" t="s">
        <v>220</v>
      </c>
      <c r="G14" s="26" t="s">
        <v>191</v>
      </c>
      <c r="H14" s="26" t="s">
        <v>191</v>
      </c>
      <c r="I14" s="26" t="s">
        <v>220</v>
      </c>
      <c r="J14" s="25">
        <v>48000</v>
      </c>
    </row>
    <row r="15" spans="1:11" ht="36.75" customHeight="1">
      <c r="A15" s="139" t="s">
        <v>213</v>
      </c>
      <c r="B15" s="132">
        <v>171000</v>
      </c>
      <c r="C15" s="25">
        <v>9000</v>
      </c>
      <c r="D15" s="26" t="s">
        <v>220</v>
      </c>
      <c r="E15" s="25">
        <v>3000</v>
      </c>
      <c r="F15" s="26" t="s">
        <v>220</v>
      </c>
      <c r="G15" s="25">
        <v>5000</v>
      </c>
      <c r="H15" s="26" t="s">
        <v>220</v>
      </c>
      <c r="I15" s="25">
        <v>17000</v>
      </c>
      <c r="J15" s="25">
        <v>145000</v>
      </c>
    </row>
    <row r="16" spans="1:11" ht="24.75" customHeight="1">
      <c r="A16" s="139" t="s">
        <v>214</v>
      </c>
      <c r="B16" s="106">
        <v>83000</v>
      </c>
      <c r="C16" s="11">
        <v>13000</v>
      </c>
      <c r="D16" s="16" t="s">
        <v>220</v>
      </c>
      <c r="E16" s="16" t="s">
        <v>220</v>
      </c>
      <c r="F16" s="16" t="s">
        <v>220</v>
      </c>
      <c r="G16" s="11">
        <v>12000</v>
      </c>
      <c r="H16" s="16" t="s">
        <v>220</v>
      </c>
      <c r="I16" s="16" t="s">
        <v>191</v>
      </c>
      <c r="J16" s="11">
        <v>68000</v>
      </c>
    </row>
    <row r="17" spans="1:11" ht="24.75" customHeight="1">
      <c r="A17" s="139" t="s">
        <v>215</v>
      </c>
      <c r="B17" s="106">
        <v>4000</v>
      </c>
      <c r="C17" s="16" t="s">
        <v>220</v>
      </c>
      <c r="D17" s="16" t="s">
        <v>220</v>
      </c>
      <c r="E17" s="16" t="s">
        <v>220</v>
      </c>
      <c r="F17" s="16" t="s">
        <v>220</v>
      </c>
      <c r="G17" s="16" t="s">
        <v>220</v>
      </c>
      <c r="H17" s="16" t="s">
        <v>220</v>
      </c>
      <c r="I17" s="16" t="s">
        <v>220</v>
      </c>
      <c r="J17" s="11">
        <v>4000</v>
      </c>
    </row>
    <row r="18" spans="1:11" ht="24.75" customHeight="1">
      <c r="A18" s="139" t="s">
        <v>216</v>
      </c>
      <c r="B18" s="106">
        <v>160000</v>
      </c>
      <c r="C18" s="11">
        <v>5000</v>
      </c>
      <c r="D18" s="16" t="s">
        <v>220</v>
      </c>
      <c r="E18" s="11">
        <v>2000</v>
      </c>
      <c r="F18" s="16" t="s">
        <v>220</v>
      </c>
      <c r="G18" s="11">
        <v>1000</v>
      </c>
      <c r="H18" s="16" t="s">
        <v>220</v>
      </c>
      <c r="I18" s="11">
        <v>1000</v>
      </c>
      <c r="J18" s="11">
        <v>155000</v>
      </c>
    </row>
    <row r="19" spans="1:11" ht="24.75" customHeight="1">
      <c r="A19" s="139" t="s">
        <v>217</v>
      </c>
      <c r="B19" s="106">
        <v>60000</v>
      </c>
      <c r="C19" s="11">
        <v>18000</v>
      </c>
      <c r="D19" s="11">
        <v>3000</v>
      </c>
      <c r="E19" s="16" t="s">
        <v>191</v>
      </c>
      <c r="F19" s="16" t="s">
        <v>220</v>
      </c>
      <c r="G19" s="11">
        <v>13000</v>
      </c>
      <c r="H19" s="16" t="s">
        <v>220</v>
      </c>
      <c r="I19" s="16" t="s">
        <v>191</v>
      </c>
      <c r="J19" s="11">
        <v>38000</v>
      </c>
    </row>
    <row r="20" spans="1:11" ht="12.45" customHeight="1">
      <c r="A20" s="111" t="s">
        <v>223</v>
      </c>
      <c r="B20" s="109">
        <v>3246000</v>
      </c>
      <c r="C20" s="104">
        <v>82000</v>
      </c>
      <c r="D20" s="104">
        <v>20000</v>
      </c>
      <c r="E20" s="104">
        <v>22000</v>
      </c>
      <c r="F20" s="104">
        <v>1000</v>
      </c>
      <c r="G20" s="104">
        <v>38000</v>
      </c>
      <c r="H20" s="152" t="s">
        <v>191</v>
      </c>
      <c r="I20" s="104">
        <v>1538000</v>
      </c>
      <c r="J20" s="104">
        <v>1626000</v>
      </c>
    </row>
    <row r="21" spans="1:11" ht="12.45" customHeight="1">
      <c r="A21" s="112" t="s">
        <v>178</v>
      </c>
      <c r="B21" s="105">
        <v>49000</v>
      </c>
      <c r="C21" s="9">
        <v>28000</v>
      </c>
      <c r="D21" s="13" t="s">
        <v>220</v>
      </c>
      <c r="E21" s="13" t="s">
        <v>220</v>
      </c>
      <c r="F21" s="13" t="s">
        <v>220</v>
      </c>
      <c r="G21" s="9">
        <v>28000</v>
      </c>
      <c r="H21" s="13" t="s">
        <v>220</v>
      </c>
      <c r="I21" s="13" t="s">
        <v>191</v>
      </c>
      <c r="J21" s="9">
        <v>16000</v>
      </c>
    </row>
    <row r="22" spans="1:11" ht="12.45" customHeight="1">
      <c r="A22" s="151" t="s">
        <v>206</v>
      </c>
      <c r="B22" s="105">
        <v>1616000</v>
      </c>
      <c r="C22" s="9">
        <v>29000</v>
      </c>
      <c r="D22" s="9">
        <v>20000</v>
      </c>
      <c r="E22" s="9">
        <v>8000</v>
      </c>
      <c r="F22" s="13" t="s">
        <v>220</v>
      </c>
      <c r="G22" s="13" t="s">
        <v>220</v>
      </c>
      <c r="H22" s="13" t="s">
        <v>220</v>
      </c>
      <c r="I22" s="9">
        <v>1506000</v>
      </c>
      <c r="J22" s="9">
        <v>82000</v>
      </c>
    </row>
    <row r="23" spans="1:11" ht="12.45" customHeight="1">
      <c r="A23" s="112" t="s">
        <v>211</v>
      </c>
      <c r="B23" s="110">
        <v>1582000</v>
      </c>
      <c r="C23" s="21">
        <v>25000</v>
      </c>
      <c r="D23" s="40" t="s">
        <v>220</v>
      </c>
      <c r="E23" s="21">
        <v>13000</v>
      </c>
      <c r="F23" s="21">
        <v>1000</v>
      </c>
      <c r="G23" s="40" t="s">
        <v>191</v>
      </c>
      <c r="H23" s="40" t="s">
        <v>191</v>
      </c>
      <c r="I23" s="21">
        <v>28000</v>
      </c>
      <c r="J23" s="21">
        <v>1528000</v>
      </c>
    </row>
    <row r="24" spans="1:11" ht="21.45" customHeight="1">
      <c r="A24" s="313" t="s">
        <v>224</v>
      </c>
      <c r="B24" s="313"/>
      <c r="C24" s="313"/>
      <c r="D24" s="313"/>
      <c r="E24" s="313"/>
      <c r="F24" s="313"/>
      <c r="G24" s="313"/>
      <c r="H24" s="313"/>
      <c r="I24" s="313"/>
      <c r="J24" s="313"/>
      <c r="K24" s="313"/>
    </row>
    <row r="25" spans="1:11" ht="70.2" customHeight="1">
      <c r="A25" s="314" t="s">
        <v>233</v>
      </c>
      <c r="B25" s="314"/>
      <c r="C25" s="314"/>
      <c r="D25" s="314"/>
      <c r="E25" s="314"/>
      <c r="F25" s="314"/>
      <c r="G25" s="314"/>
      <c r="H25" s="314"/>
      <c r="I25" s="314"/>
      <c r="J25" s="314"/>
      <c r="K25" s="314"/>
    </row>
    <row r="26" spans="1:11" ht="1.95" customHeight="1"/>
  </sheetData>
  <mergeCells count="8">
    <mergeCell ref="A24:K24"/>
    <mergeCell ref="A25:K25"/>
    <mergeCell ref="A1:K1"/>
    <mergeCell ref="A2:A3"/>
    <mergeCell ref="B2:B3"/>
    <mergeCell ref="C2:H2"/>
    <mergeCell ref="I2:I3"/>
    <mergeCell ref="J2:J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176"/>
  <sheetViews>
    <sheetView topLeftCell="Q1" workbookViewId="0">
      <pane ySplit="4" topLeftCell="A5" activePane="bottomLeft" state="frozen"/>
      <selection pane="bottomLeft" activeCell="U14" sqref="U14"/>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 min="30" max="31" width="20.6640625" customWidth="1"/>
  </cols>
  <sheetData>
    <row r="1" spans="1:31" ht="39" customHeight="1">
      <c r="A1" s="321" t="s">
        <v>234</v>
      </c>
      <c r="B1" s="321"/>
      <c r="C1" s="321"/>
      <c r="D1" s="321"/>
      <c r="E1" s="321"/>
      <c r="F1" s="321"/>
      <c r="G1" s="321"/>
      <c r="H1" s="321"/>
      <c r="I1" s="321"/>
      <c r="J1" s="321"/>
      <c r="K1" s="321"/>
      <c r="L1" s="321"/>
      <c r="M1" s="321"/>
      <c r="N1" s="321"/>
      <c r="O1" s="321"/>
      <c r="P1" s="321"/>
      <c r="Q1" s="321"/>
      <c r="R1" s="321"/>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2" t="s">
        <v>236</v>
      </c>
      <c r="S3" s="342" t="s">
        <v>237</v>
      </c>
      <c r="T3" s="342" t="s">
        <v>238</v>
      </c>
      <c r="U3" s="342" t="s">
        <v>239</v>
      </c>
      <c r="V3" s="342" t="s">
        <v>240</v>
      </c>
      <c r="W3" s="342" t="s">
        <v>241</v>
      </c>
      <c r="X3" s="342" t="s">
        <v>242</v>
      </c>
      <c r="Y3" s="342" t="s">
        <v>243</v>
      </c>
      <c r="Z3" s="342" t="s">
        <v>244</v>
      </c>
      <c r="AA3" s="342" t="s">
        <v>245</v>
      </c>
      <c r="AB3" s="342" t="s">
        <v>246</v>
      </c>
      <c r="AC3" s="342"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28" t="s">
        <v>232</v>
      </c>
      <c r="B5" s="127">
        <v>51764000</v>
      </c>
      <c r="C5" s="126">
        <v>28026000</v>
      </c>
      <c r="D5" s="126">
        <v>13514000</v>
      </c>
      <c r="E5" s="126">
        <v>10224000</v>
      </c>
      <c r="F5" s="126">
        <v>7894000</v>
      </c>
      <c r="G5" s="126">
        <v>5150000</v>
      </c>
      <c r="H5" s="126">
        <v>1955000</v>
      </c>
      <c r="I5" s="126">
        <v>788000</v>
      </c>
      <c r="J5" s="126">
        <v>9522000</v>
      </c>
      <c r="K5" s="126">
        <v>7154000</v>
      </c>
      <c r="L5" s="126">
        <v>1507000</v>
      </c>
      <c r="M5" s="126">
        <v>861000</v>
      </c>
      <c r="N5" s="126">
        <v>34349000</v>
      </c>
      <c r="O5" s="126">
        <v>15722000</v>
      </c>
      <c r="P5" s="126">
        <v>10052000</v>
      </c>
      <c r="Q5" s="264">
        <v>8575000</v>
      </c>
      <c r="R5" s="272">
        <f>C5/B5</f>
        <v>0.54141874661927203</v>
      </c>
      <c r="S5" s="272">
        <f>D5/B5</f>
        <v>0.26106946912912449</v>
      </c>
      <c r="T5" s="272">
        <f t="shared" ref="T5:T36" si="0">(E5/B5)*(-1)</f>
        <v>-0.19751178425160343</v>
      </c>
      <c r="U5" s="272">
        <f>G5/F5</f>
        <v>0.65239422346085629</v>
      </c>
      <c r="V5" s="272">
        <f>H5/F5</f>
        <v>0.24765644793514061</v>
      </c>
      <c r="W5" s="272">
        <f t="shared" ref="W5:W36" si="1">(I5/F5)*(-1)</f>
        <v>-9.9822650114010647E-2</v>
      </c>
      <c r="X5" s="272">
        <f>K5/J5</f>
        <v>0.75131274942239024</v>
      </c>
      <c r="Y5" s="272">
        <f>L5/J5</f>
        <v>0.15826507036336904</v>
      </c>
      <c r="Z5" s="272">
        <f t="shared" ref="Z5:Z36" si="2">(M5/J5)*(-1)</f>
        <v>-9.0422180214240699E-2</v>
      </c>
      <c r="AA5" s="272">
        <f>O5/N5</f>
        <v>0.45771347055227224</v>
      </c>
      <c r="AB5" s="272">
        <f>P5/N5</f>
        <v>0.29264316282861219</v>
      </c>
      <c r="AC5" s="272">
        <f t="shared" ref="AC5:AC36" si="3">(Q5/N5)*(-1)</f>
        <v>-0.24964336661911554</v>
      </c>
    </row>
    <row r="6" spans="1:31" ht="12.45" customHeight="1">
      <c r="A6" s="129" t="s">
        <v>178</v>
      </c>
      <c r="B6" s="105">
        <v>16408000</v>
      </c>
      <c r="C6" s="9">
        <v>8096000</v>
      </c>
      <c r="D6" s="9">
        <v>4724000</v>
      </c>
      <c r="E6" s="9">
        <v>3587000</v>
      </c>
      <c r="F6" s="9">
        <v>6059000</v>
      </c>
      <c r="G6" s="9">
        <v>4316000</v>
      </c>
      <c r="H6" s="9">
        <v>1370000</v>
      </c>
      <c r="I6" s="9">
        <v>373000</v>
      </c>
      <c r="J6" s="9">
        <v>2405000</v>
      </c>
      <c r="K6" s="9">
        <v>1395000</v>
      </c>
      <c r="L6" s="9">
        <v>691000</v>
      </c>
      <c r="M6" s="9">
        <v>319000</v>
      </c>
      <c r="N6" s="9">
        <v>7944000</v>
      </c>
      <c r="O6" s="9">
        <v>2386000</v>
      </c>
      <c r="P6" s="9">
        <v>2663000</v>
      </c>
      <c r="Q6" s="265">
        <v>2895000</v>
      </c>
      <c r="R6" s="272">
        <f t="shared" ref="R6:R39" si="4">C6/B6</f>
        <v>0.49341784495368113</v>
      </c>
      <c r="S6" s="272">
        <f t="shared" ref="S6:S39" si="5">D6/B6</f>
        <v>0.28790833739639199</v>
      </c>
      <c r="T6" s="272">
        <f t="shared" si="0"/>
        <v>-0.21861287176986835</v>
      </c>
      <c r="U6" s="272">
        <f t="shared" ref="U6:U39" si="6">G6/F6</f>
        <v>0.71232876712328763</v>
      </c>
      <c r="V6" s="272">
        <f t="shared" ref="V6:V39" si="7">H6/F6</f>
        <v>0.22610991912856906</v>
      </c>
      <c r="W6" s="272">
        <f t="shared" si="1"/>
        <v>-6.1561313748143255E-2</v>
      </c>
      <c r="X6" s="272">
        <f t="shared" ref="X6:X39" si="8">K6/J6</f>
        <v>0.58004158004158002</v>
      </c>
      <c r="Y6" s="272">
        <f t="shared" ref="Y6:Y39" si="9">L6/J6</f>
        <v>0.28731808731808733</v>
      </c>
      <c r="Z6" s="272">
        <f t="shared" si="2"/>
        <v>-0.13264033264033265</v>
      </c>
      <c r="AA6" s="272">
        <f t="shared" ref="AA6:AA39" si="10">O6/N6</f>
        <v>0.30035246727089626</v>
      </c>
      <c r="AB6" s="272">
        <f t="shared" ref="AB6:AB39" si="11">P6/N6</f>
        <v>0.33522155085599192</v>
      </c>
      <c r="AC6" s="272">
        <f t="shared" si="3"/>
        <v>-0.36442598187311176</v>
      </c>
    </row>
    <row r="7" spans="1:31" ht="12.45" customHeight="1">
      <c r="A7" s="130" t="s">
        <v>179</v>
      </c>
      <c r="B7" s="105">
        <v>2570000</v>
      </c>
      <c r="C7" s="9">
        <v>1195000</v>
      </c>
      <c r="D7" s="9">
        <v>709000</v>
      </c>
      <c r="E7" s="9">
        <v>666000</v>
      </c>
      <c r="F7" s="9">
        <v>768000</v>
      </c>
      <c r="G7" s="9">
        <v>538000</v>
      </c>
      <c r="H7" s="9">
        <v>166000</v>
      </c>
      <c r="I7" s="9">
        <v>64000</v>
      </c>
      <c r="J7" s="9">
        <v>667000</v>
      </c>
      <c r="K7" s="9">
        <v>382000</v>
      </c>
      <c r="L7" s="9">
        <v>202000</v>
      </c>
      <c r="M7" s="9">
        <v>83000</v>
      </c>
      <c r="N7" s="9">
        <v>1136000</v>
      </c>
      <c r="O7" s="9">
        <v>275000</v>
      </c>
      <c r="P7" s="9">
        <v>341000</v>
      </c>
      <c r="Q7" s="265">
        <v>519000</v>
      </c>
      <c r="R7" s="272">
        <f t="shared" si="4"/>
        <v>0.46498054474708173</v>
      </c>
      <c r="S7" s="272">
        <f t="shared" si="5"/>
        <v>0.27587548638132298</v>
      </c>
      <c r="T7" s="272">
        <f t="shared" si="0"/>
        <v>-0.25914396887159535</v>
      </c>
      <c r="U7" s="272">
        <f t="shared" si="6"/>
        <v>0.70052083333333337</v>
      </c>
      <c r="V7" s="272">
        <f t="shared" si="7"/>
        <v>0.21614583333333334</v>
      </c>
      <c r="W7" s="272">
        <f t="shared" si="1"/>
        <v>-8.3333333333333329E-2</v>
      </c>
      <c r="X7" s="272">
        <f t="shared" si="8"/>
        <v>0.57271364317841078</v>
      </c>
      <c r="Y7" s="272">
        <f t="shared" si="9"/>
        <v>0.30284857571214391</v>
      </c>
      <c r="Z7" s="272">
        <f t="shared" si="2"/>
        <v>-0.12443778110944528</v>
      </c>
      <c r="AA7" s="272">
        <f t="shared" si="10"/>
        <v>0.2420774647887324</v>
      </c>
      <c r="AB7" s="272">
        <f t="shared" si="11"/>
        <v>0.30017605633802819</v>
      </c>
      <c r="AC7" s="272">
        <f t="shared" si="3"/>
        <v>-0.45686619718309857</v>
      </c>
    </row>
    <row r="8" spans="1:31" ht="12.45" customHeight="1">
      <c r="A8" s="131" t="s">
        <v>180</v>
      </c>
      <c r="B8" s="105">
        <v>308000</v>
      </c>
      <c r="C8" s="9">
        <v>143000</v>
      </c>
      <c r="D8" s="9">
        <v>80000</v>
      </c>
      <c r="E8" s="9">
        <v>85000</v>
      </c>
      <c r="F8" s="9">
        <v>73000</v>
      </c>
      <c r="G8" s="9">
        <v>52000</v>
      </c>
      <c r="H8" s="9">
        <v>17000</v>
      </c>
      <c r="I8" s="13" t="s">
        <v>191</v>
      </c>
      <c r="J8" s="9">
        <v>40000</v>
      </c>
      <c r="K8" s="9">
        <v>19000</v>
      </c>
      <c r="L8" s="9">
        <v>10000</v>
      </c>
      <c r="M8" s="9">
        <v>11000</v>
      </c>
      <c r="N8" s="9">
        <v>195000</v>
      </c>
      <c r="O8" s="9">
        <v>73000</v>
      </c>
      <c r="P8" s="9">
        <v>52000</v>
      </c>
      <c r="Q8" s="265">
        <v>69000</v>
      </c>
      <c r="R8" s="272">
        <f t="shared" si="4"/>
        <v>0.4642857142857143</v>
      </c>
      <c r="S8" s="272">
        <f t="shared" si="5"/>
        <v>0.25974025974025972</v>
      </c>
      <c r="T8" s="272">
        <f t="shared" si="0"/>
        <v>-0.27597402597402598</v>
      </c>
      <c r="U8" s="272">
        <f t="shared" si="6"/>
        <v>0.71232876712328763</v>
      </c>
      <c r="V8" s="272">
        <f t="shared" si="7"/>
        <v>0.23287671232876711</v>
      </c>
      <c r="W8" s="272" t="e">
        <f t="shared" si="1"/>
        <v>#VALUE!</v>
      </c>
      <c r="X8" s="272">
        <f t="shared" si="8"/>
        <v>0.47499999999999998</v>
      </c>
      <c r="Y8" s="272">
        <f t="shared" si="9"/>
        <v>0.25</v>
      </c>
      <c r="Z8" s="272">
        <f t="shared" si="2"/>
        <v>-0.27500000000000002</v>
      </c>
      <c r="AA8" s="272">
        <f t="shared" si="10"/>
        <v>0.37435897435897436</v>
      </c>
      <c r="AB8" s="272">
        <f t="shared" si="11"/>
        <v>0.26666666666666666</v>
      </c>
      <c r="AC8" s="272">
        <f t="shared" si="3"/>
        <v>-0.35384615384615387</v>
      </c>
    </row>
    <row r="9" spans="1:31" ht="12.45" customHeight="1">
      <c r="A9" s="131" t="s">
        <v>181</v>
      </c>
      <c r="B9" s="105">
        <v>1937000</v>
      </c>
      <c r="C9" s="9">
        <v>910000</v>
      </c>
      <c r="D9" s="9">
        <v>523000</v>
      </c>
      <c r="E9" s="9">
        <v>504000</v>
      </c>
      <c r="F9" s="9">
        <v>610000</v>
      </c>
      <c r="G9" s="9">
        <v>427000</v>
      </c>
      <c r="H9" s="9">
        <v>132000</v>
      </c>
      <c r="I9" s="9">
        <v>50000</v>
      </c>
      <c r="J9" s="9">
        <v>591000</v>
      </c>
      <c r="K9" s="9">
        <v>343000</v>
      </c>
      <c r="L9" s="9">
        <v>179000</v>
      </c>
      <c r="M9" s="9">
        <v>68000</v>
      </c>
      <c r="N9" s="9">
        <v>737000</v>
      </c>
      <c r="O9" s="9">
        <v>139000</v>
      </c>
      <c r="P9" s="9">
        <v>212000</v>
      </c>
      <c r="Q9" s="265">
        <v>386000</v>
      </c>
      <c r="R9" s="272">
        <f t="shared" si="4"/>
        <v>0.46979865771812079</v>
      </c>
      <c r="S9" s="272">
        <f t="shared" si="5"/>
        <v>0.27000516262261226</v>
      </c>
      <c r="T9" s="272">
        <f t="shared" si="0"/>
        <v>-0.26019617965926689</v>
      </c>
      <c r="U9" s="272">
        <f t="shared" si="6"/>
        <v>0.7</v>
      </c>
      <c r="V9" s="272">
        <f t="shared" si="7"/>
        <v>0.21639344262295082</v>
      </c>
      <c r="W9" s="272">
        <f t="shared" si="1"/>
        <v>-8.1967213114754092E-2</v>
      </c>
      <c r="X9" s="272">
        <f t="shared" si="8"/>
        <v>0.58037225042301188</v>
      </c>
      <c r="Y9" s="272">
        <f t="shared" si="9"/>
        <v>0.30287648054145516</v>
      </c>
      <c r="Z9" s="272">
        <f t="shared" si="2"/>
        <v>-0.11505922165820642</v>
      </c>
      <c r="AA9" s="272">
        <f t="shared" si="10"/>
        <v>0.18860244233378562</v>
      </c>
      <c r="AB9" s="272">
        <f t="shared" si="11"/>
        <v>0.28765264586160111</v>
      </c>
      <c r="AC9" s="272">
        <f t="shared" si="3"/>
        <v>-0.52374491180461324</v>
      </c>
    </row>
    <row r="10" spans="1:31" ht="12.45" customHeight="1">
      <c r="A10" s="131" t="s">
        <v>182</v>
      </c>
      <c r="B10" s="105">
        <v>325000</v>
      </c>
      <c r="C10" s="9">
        <v>141000</v>
      </c>
      <c r="D10" s="9">
        <v>106000</v>
      </c>
      <c r="E10" s="9">
        <v>77000</v>
      </c>
      <c r="F10" s="9">
        <v>85000</v>
      </c>
      <c r="G10" s="9">
        <v>59000</v>
      </c>
      <c r="H10" s="9">
        <v>17000</v>
      </c>
      <c r="I10" s="9">
        <v>10000</v>
      </c>
      <c r="J10" s="9">
        <v>36000</v>
      </c>
      <c r="K10" s="9">
        <v>20000</v>
      </c>
      <c r="L10" s="9">
        <v>13000</v>
      </c>
      <c r="M10" s="13" t="s">
        <v>191</v>
      </c>
      <c r="N10" s="9">
        <v>204000</v>
      </c>
      <c r="O10" s="9">
        <v>63000</v>
      </c>
      <c r="P10" s="9">
        <v>77000</v>
      </c>
      <c r="Q10" s="265">
        <v>64000</v>
      </c>
      <c r="R10" s="272">
        <f t="shared" si="4"/>
        <v>0.43384615384615383</v>
      </c>
      <c r="S10" s="272">
        <f t="shared" si="5"/>
        <v>0.32615384615384613</v>
      </c>
      <c r="T10" s="272">
        <f t="shared" si="0"/>
        <v>-0.23692307692307693</v>
      </c>
      <c r="U10" s="272">
        <f t="shared" si="6"/>
        <v>0.69411764705882351</v>
      </c>
      <c r="V10" s="272">
        <f t="shared" si="7"/>
        <v>0.2</v>
      </c>
      <c r="W10" s="272">
        <f t="shared" si="1"/>
        <v>-0.11764705882352941</v>
      </c>
      <c r="X10" s="272">
        <f t="shared" si="8"/>
        <v>0.55555555555555558</v>
      </c>
      <c r="Y10" s="272">
        <f t="shared" si="9"/>
        <v>0.3611111111111111</v>
      </c>
      <c r="Z10" s="272" t="e">
        <f t="shared" si="2"/>
        <v>#VALUE!</v>
      </c>
      <c r="AA10" s="272">
        <f t="shared" si="10"/>
        <v>0.30882352941176472</v>
      </c>
      <c r="AB10" s="272">
        <f t="shared" si="11"/>
        <v>0.37745098039215685</v>
      </c>
      <c r="AC10" s="272">
        <f t="shared" si="3"/>
        <v>-0.31372549019607843</v>
      </c>
    </row>
    <row r="11" spans="1:31" ht="12.45" customHeight="1">
      <c r="A11" s="130" t="s">
        <v>183</v>
      </c>
      <c r="B11" s="105">
        <v>3147000</v>
      </c>
      <c r="C11" s="9">
        <v>2010000</v>
      </c>
      <c r="D11" s="9">
        <v>791000</v>
      </c>
      <c r="E11" s="9">
        <v>346000</v>
      </c>
      <c r="F11" s="9">
        <v>1795000</v>
      </c>
      <c r="G11" s="9">
        <v>1375000</v>
      </c>
      <c r="H11" s="9">
        <v>384000</v>
      </c>
      <c r="I11" s="9">
        <v>36000</v>
      </c>
      <c r="J11" s="9">
        <v>463000</v>
      </c>
      <c r="K11" s="9">
        <v>310000</v>
      </c>
      <c r="L11" s="9">
        <v>117000</v>
      </c>
      <c r="M11" s="9">
        <v>37000</v>
      </c>
      <c r="N11" s="9">
        <v>889000</v>
      </c>
      <c r="O11" s="9">
        <v>325000</v>
      </c>
      <c r="P11" s="9">
        <v>290000</v>
      </c>
      <c r="Q11" s="265">
        <v>274000</v>
      </c>
      <c r="R11" s="272">
        <f t="shared" si="4"/>
        <v>0.63870352716873213</v>
      </c>
      <c r="S11" s="272">
        <f t="shared" si="5"/>
        <v>0.25135049253257069</v>
      </c>
      <c r="T11" s="272">
        <f t="shared" si="0"/>
        <v>-0.10994598029869718</v>
      </c>
      <c r="U11" s="272">
        <f t="shared" si="6"/>
        <v>0.76601671309192199</v>
      </c>
      <c r="V11" s="272">
        <f t="shared" si="7"/>
        <v>0.2139275766016713</v>
      </c>
      <c r="W11" s="272">
        <f t="shared" si="1"/>
        <v>-2.0055710306406686E-2</v>
      </c>
      <c r="X11" s="272">
        <f t="shared" si="8"/>
        <v>0.66954643628509725</v>
      </c>
      <c r="Y11" s="272">
        <f t="shared" si="9"/>
        <v>0.25269978401727861</v>
      </c>
      <c r="Z11" s="272">
        <f t="shared" si="2"/>
        <v>-7.9913606911447083E-2</v>
      </c>
      <c r="AA11" s="272">
        <f t="shared" si="10"/>
        <v>0.36557930258717658</v>
      </c>
      <c r="AB11" s="272">
        <f t="shared" si="11"/>
        <v>0.32620922384701911</v>
      </c>
      <c r="AC11" s="272">
        <f t="shared" si="3"/>
        <v>-0.30821147356580425</v>
      </c>
    </row>
    <row r="12" spans="1:31" ht="12.45" customHeight="1">
      <c r="A12" s="131" t="s">
        <v>184</v>
      </c>
      <c r="B12" s="105">
        <v>2493000</v>
      </c>
      <c r="C12" s="9">
        <v>1687000</v>
      </c>
      <c r="D12" s="9">
        <v>568000</v>
      </c>
      <c r="E12" s="9">
        <v>238000</v>
      </c>
      <c r="F12" s="9">
        <v>1556000</v>
      </c>
      <c r="G12" s="9">
        <v>1237000</v>
      </c>
      <c r="H12" s="9">
        <v>293000</v>
      </c>
      <c r="I12" s="9">
        <v>26000</v>
      </c>
      <c r="J12" s="9">
        <v>324000</v>
      </c>
      <c r="K12" s="9">
        <v>216000</v>
      </c>
      <c r="L12" s="9">
        <v>76000</v>
      </c>
      <c r="M12" s="9">
        <v>32000</v>
      </c>
      <c r="N12" s="9">
        <v>614000</v>
      </c>
      <c r="O12" s="9">
        <v>234000</v>
      </c>
      <c r="P12" s="9">
        <v>199000</v>
      </c>
      <c r="Q12" s="265">
        <v>180000</v>
      </c>
      <c r="R12" s="272">
        <f t="shared" si="4"/>
        <v>0.67669474528680307</v>
      </c>
      <c r="S12" s="272">
        <f t="shared" si="5"/>
        <v>0.2278379462494986</v>
      </c>
      <c r="T12" s="272">
        <f t="shared" si="0"/>
        <v>-9.5467308463698358E-2</v>
      </c>
      <c r="U12" s="272">
        <f t="shared" si="6"/>
        <v>0.79498714652956293</v>
      </c>
      <c r="V12" s="272">
        <f t="shared" si="7"/>
        <v>0.18830334190231363</v>
      </c>
      <c r="W12" s="272">
        <f t="shared" si="1"/>
        <v>-1.6709511568123392E-2</v>
      </c>
      <c r="X12" s="272">
        <f t="shared" si="8"/>
        <v>0.66666666666666663</v>
      </c>
      <c r="Y12" s="272">
        <f t="shared" si="9"/>
        <v>0.23456790123456789</v>
      </c>
      <c r="Z12" s="272">
        <f t="shared" si="2"/>
        <v>-9.8765432098765427E-2</v>
      </c>
      <c r="AA12" s="272">
        <f t="shared" si="10"/>
        <v>0.38110749185667753</v>
      </c>
      <c r="AB12" s="272">
        <f t="shared" si="11"/>
        <v>0.32410423452768727</v>
      </c>
      <c r="AC12" s="272">
        <f t="shared" si="3"/>
        <v>-0.29315960912052119</v>
      </c>
    </row>
    <row r="13" spans="1:31" ht="12.45" customHeight="1">
      <c r="A13" s="131" t="s">
        <v>185</v>
      </c>
      <c r="B13" s="105">
        <v>654000</v>
      </c>
      <c r="C13" s="9">
        <v>323000</v>
      </c>
      <c r="D13" s="9">
        <v>223000</v>
      </c>
      <c r="E13" s="9">
        <v>108000</v>
      </c>
      <c r="F13" s="9">
        <v>239000</v>
      </c>
      <c r="G13" s="9">
        <v>139000</v>
      </c>
      <c r="H13" s="9">
        <v>91000</v>
      </c>
      <c r="I13" s="9">
        <v>10000</v>
      </c>
      <c r="J13" s="9">
        <v>140000</v>
      </c>
      <c r="K13" s="9">
        <v>94000</v>
      </c>
      <c r="L13" s="9">
        <v>41000</v>
      </c>
      <c r="M13" s="13" t="s">
        <v>191</v>
      </c>
      <c r="N13" s="9">
        <v>276000</v>
      </c>
      <c r="O13" s="9">
        <v>91000</v>
      </c>
      <c r="P13" s="9">
        <v>91000</v>
      </c>
      <c r="Q13" s="265">
        <v>93000</v>
      </c>
      <c r="R13" s="272">
        <f t="shared" si="4"/>
        <v>0.49388379204892968</v>
      </c>
      <c r="S13" s="272">
        <f t="shared" si="5"/>
        <v>0.34097859327217123</v>
      </c>
      <c r="T13" s="272">
        <f t="shared" si="0"/>
        <v>-0.16513761467889909</v>
      </c>
      <c r="U13" s="272">
        <f t="shared" si="6"/>
        <v>0.58158995815899583</v>
      </c>
      <c r="V13" s="272">
        <f t="shared" si="7"/>
        <v>0.3807531380753138</v>
      </c>
      <c r="W13" s="272">
        <f t="shared" si="1"/>
        <v>-4.1841004184100417E-2</v>
      </c>
      <c r="X13" s="272">
        <f t="shared" si="8"/>
        <v>0.67142857142857137</v>
      </c>
      <c r="Y13" s="272">
        <f t="shared" si="9"/>
        <v>0.29285714285714287</v>
      </c>
      <c r="Z13" s="272" t="e">
        <f t="shared" si="2"/>
        <v>#VALUE!</v>
      </c>
      <c r="AA13" s="272">
        <f t="shared" si="10"/>
        <v>0.32971014492753625</v>
      </c>
      <c r="AB13" s="272">
        <f t="shared" si="11"/>
        <v>0.32971014492753625</v>
      </c>
      <c r="AC13" s="272">
        <f t="shared" si="3"/>
        <v>-0.33695652173913043</v>
      </c>
    </row>
    <row r="14" spans="1:31" ht="12.45" customHeight="1">
      <c r="A14" s="130" t="s">
        <v>186</v>
      </c>
      <c r="B14" s="105">
        <v>906000</v>
      </c>
      <c r="C14" s="9">
        <v>444000</v>
      </c>
      <c r="D14" s="9">
        <v>243000</v>
      </c>
      <c r="E14" s="9">
        <v>219000</v>
      </c>
      <c r="F14" s="9">
        <v>461000</v>
      </c>
      <c r="G14" s="9">
        <v>310000</v>
      </c>
      <c r="H14" s="9">
        <v>111000</v>
      </c>
      <c r="I14" s="9">
        <v>39000</v>
      </c>
      <c r="J14" s="9">
        <v>148000</v>
      </c>
      <c r="K14" s="9">
        <v>81000</v>
      </c>
      <c r="L14" s="9">
        <v>50000</v>
      </c>
      <c r="M14" s="9">
        <v>16000</v>
      </c>
      <c r="N14" s="9">
        <v>297000</v>
      </c>
      <c r="O14" s="9">
        <v>53000</v>
      </c>
      <c r="P14" s="9">
        <v>81000</v>
      </c>
      <c r="Q14" s="265">
        <v>163000</v>
      </c>
      <c r="R14" s="272">
        <f t="shared" si="4"/>
        <v>0.49006622516556292</v>
      </c>
      <c r="S14" s="272">
        <f t="shared" si="5"/>
        <v>0.26821192052980131</v>
      </c>
      <c r="T14" s="272">
        <f t="shared" si="0"/>
        <v>-0.24172185430463577</v>
      </c>
      <c r="U14" s="272">
        <f t="shared" si="6"/>
        <v>0.67245119305856837</v>
      </c>
      <c r="V14" s="272">
        <f t="shared" si="7"/>
        <v>0.24078091106290672</v>
      </c>
      <c r="W14" s="272">
        <f t="shared" si="1"/>
        <v>-8.4598698481561818E-2</v>
      </c>
      <c r="X14" s="272">
        <f t="shared" si="8"/>
        <v>0.54729729729729726</v>
      </c>
      <c r="Y14" s="272">
        <f t="shared" si="9"/>
        <v>0.33783783783783783</v>
      </c>
      <c r="Z14" s="272">
        <f t="shared" si="2"/>
        <v>-0.10810810810810811</v>
      </c>
      <c r="AA14" s="272">
        <f t="shared" si="10"/>
        <v>0.17845117845117844</v>
      </c>
      <c r="AB14" s="272">
        <f t="shared" si="11"/>
        <v>0.27272727272727271</v>
      </c>
      <c r="AC14" s="272">
        <f t="shared" si="3"/>
        <v>-0.54882154882154888</v>
      </c>
    </row>
    <row r="15" spans="1:31" ht="12.45" customHeight="1">
      <c r="A15" s="131" t="s">
        <v>187</v>
      </c>
      <c r="B15" s="105">
        <v>376000</v>
      </c>
      <c r="C15" s="9">
        <v>204000</v>
      </c>
      <c r="D15" s="9">
        <v>108000</v>
      </c>
      <c r="E15" s="9">
        <v>64000</v>
      </c>
      <c r="F15" s="9">
        <v>189000</v>
      </c>
      <c r="G15" s="9">
        <v>134000</v>
      </c>
      <c r="H15" s="9">
        <v>37000</v>
      </c>
      <c r="I15" s="9">
        <v>18000</v>
      </c>
      <c r="J15" s="9">
        <v>75000</v>
      </c>
      <c r="K15" s="9">
        <v>44000</v>
      </c>
      <c r="L15" s="9">
        <v>26000</v>
      </c>
      <c r="M15" s="9">
        <v>5000</v>
      </c>
      <c r="N15" s="9">
        <v>113000</v>
      </c>
      <c r="O15" s="9">
        <v>27000</v>
      </c>
      <c r="P15" s="9">
        <v>45000</v>
      </c>
      <c r="Q15" s="265">
        <v>41000</v>
      </c>
      <c r="R15" s="272">
        <f t="shared" si="4"/>
        <v>0.54255319148936165</v>
      </c>
      <c r="S15" s="272">
        <f t="shared" si="5"/>
        <v>0.28723404255319152</v>
      </c>
      <c r="T15" s="272">
        <f t="shared" si="0"/>
        <v>-0.1702127659574468</v>
      </c>
      <c r="U15" s="272">
        <f t="shared" si="6"/>
        <v>0.70899470899470896</v>
      </c>
      <c r="V15" s="272">
        <f t="shared" si="7"/>
        <v>0.19576719576719576</v>
      </c>
      <c r="W15" s="272">
        <f t="shared" si="1"/>
        <v>-9.5238095238095233E-2</v>
      </c>
      <c r="X15" s="272">
        <f t="shared" si="8"/>
        <v>0.58666666666666667</v>
      </c>
      <c r="Y15" s="272">
        <f t="shared" si="9"/>
        <v>0.34666666666666668</v>
      </c>
      <c r="Z15" s="272">
        <f t="shared" si="2"/>
        <v>-6.6666666666666666E-2</v>
      </c>
      <c r="AA15" s="272">
        <f t="shared" si="10"/>
        <v>0.23893805309734514</v>
      </c>
      <c r="AB15" s="272">
        <f t="shared" si="11"/>
        <v>0.39823008849557523</v>
      </c>
      <c r="AC15" s="272">
        <f t="shared" si="3"/>
        <v>-0.36283185840707965</v>
      </c>
    </row>
    <row r="16" spans="1:31" ht="12.45" customHeight="1">
      <c r="A16" s="131" t="s">
        <v>188</v>
      </c>
      <c r="B16" s="105">
        <v>263000</v>
      </c>
      <c r="C16" s="9">
        <v>112000</v>
      </c>
      <c r="D16" s="9">
        <v>58000</v>
      </c>
      <c r="E16" s="9">
        <v>93000</v>
      </c>
      <c r="F16" s="9">
        <v>120000</v>
      </c>
      <c r="G16" s="9">
        <v>84000</v>
      </c>
      <c r="H16" s="9">
        <v>29000</v>
      </c>
      <c r="I16" s="9">
        <v>6000</v>
      </c>
      <c r="J16" s="9">
        <v>31000</v>
      </c>
      <c r="K16" s="9">
        <v>15000</v>
      </c>
      <c r="L16" s="9">
        <v>7000</v>
      </c>
      <c r="M16" s="13" t="s">
        <v>191</v>
      </c>
      <c r="N16" s="9">
        <v>112000</v>
      </c>
      <c r="O16" s="9">
        <v>13000</v>
      </c>
      <c r="P16" s="9">
        <v>21000</v>
      </c>
      <c r="Q16" s="265">
        <v>78000</v>
      </c>
      <c r="R16" s="272">
        <f t="shared" si="4"/>
        <v>0.42585551330798477</v>
      </c>
      <c r="S16" s="272">
        <f t="shared" si="5"/>
        <v>0.22053231939163498</v>
      </c>
      <c r="T16" s="272">
        <f t="shared" si="0"/>
        <v>-0.35361216730038025</v>
      </c>
      <c r="U16" s="272">
        <f t="shared" si="6"/>
        <v>0.7</v>
      </c>
      <c r="V16" s="272">
        <f t="shared" si="7"/>
        <v>0.24166666666666667</v>
      </c>
      <c r="W16" s="272">
        <f t="shared" si="1"/>
        <v>-0.05</v>
      </c>
      <c r="X16" s="272">
        <f t="shared" si="8"/>
        <v>0.4838709677419355</v>
      </c>
      <c r="Y16" s="272">
        <f t="shared" si="9"/>
        <v>0.22580645161290322</v>
      </c>
      <c r="Z16" s="272" t="e">
        <f t="shared" si="2"/>
        <v>#VALUE!</v>
      </c>
      <c r="AA16" s="272">
        <f t="shared" si="10"/>
        <v>0.11607142857142858</v>
      </c>
      <c r="AB16" s="272">
        <f t="shared" si="11"/>
        <v>0.1875</v>
      </c>
      <c r="AC16" s="272">
        <f t="shared" si="3"/>
        <v>-0.6964285714285714</v>
      </c>
    </row>
    <row r="17" spans="1:29" ht="12.45" customHeight="1">
      <c r="A17" s="131" t="s">
        <v>189</v>
      </c>
      <c r="B17" s="105">
        <v>240000</v>
      </c>
      <c r="C17" s="9">
        <v>117000</v>
      </c>
      <c r="D17" s="9">
        <v>71000</v>
      </c>
      <c r="E17" s="9">
        <v>53000</v>
      </c>
      <c r="F17" s="9">
        <v>146000</v>
      </c>
      <c r="G17" s="9">
        <v>88000</v>
      </c>
      <c r="H17" s="9">
        <v>44000</v>
      </c>
      <c r="I17" s="9">
        <v>14000</v>
      </c>
      <c r="J17" s="9">
        <v>34000</v>
      </c>
      <c r="K17" s="9">
        <v>17000</v>
      </c>
      <c r="L17" s="9">
        <v>16000</v>
      </c>
      <c r="M17" s="9">
        <v>1000</v>
      </c>
      <c r="N17" s="9">
        <v>61000</v>
      </c>
      <c r="O17" s="9">
        <v>12000</v>
      </c>
      <c r="P17" s="9">
        <v>11000</v>
      </c>
      <c r="Q17" s="265">
        <v>37000</v>
      </c>
      <c r="R17" s="272">
        <f t="shared" si="4"/>
        <v>0.48749999999999999</v>
      </c>
      <c r="S17" s="272">
        <f t="shared" si="5"/>
        <v>0.29583333333333334</v>
      </c>
      <c r="T17" s="272">
        <f t="shared" si="0"/>
        <v>-0.22083333333333333</v>
      </c>
      <c r="U17" s="272">
        <f t="shared" si="6"/>
        <v>0.60273972602739723</v>
      </c>
      <c r="V17" s="272">
        <f t="shared" si="7"/>
        <v>0.30136986301369861</v>
      </c>
      <c r="W17" s="272">
        <f t="shared" si="1"/>
        <v>-9.5890410958904104E-2</v>
      </c>
      <c r="X17" s="272">
        <f t="shared" si="8"/>
        <v>0.5</v>
      </c>
      <c r="Y17" s="272">
        <f t="shared" si="9"/>
        <v>0.47058823529411764</v>
      </c>
      <c r="Z17" s="272">
        <f t="shared" si="2"/>
        <v>-2.9411764705882353E-2</v>
      </c>
      <c r="AA17" s="272">
        <f t="shared" si="10"/>
        <v>0.19672131147540983</v>
      </c>
      <c r="AB17" s="272">
        <f t="shared" si="11"/>
        <v>0.18032786885245902</v>
      </c>
      <c r="AC17" s="272">
        <f t="shared" si="3"/>
        <v>-0.60655737704918034</v>
      </c>
    </row>
    <row r="18" spans="1:29" ht="12.45" customHeight="1">
      <c r="A18" s="131" t="s">
        <v>190</v>
      </c>
      <c r="B18" s="105">
        <v>26000</v>
      </c>
      <c r="C18" s="9">
        <v>11000</v>
      </c>
      <c r="D18" s="9">
        <v>7000</v>
      </c>
      <c r="E18" s="9">
        <v>9000</v>
      </c>
      <c r="F18" s="9">
        <v>6000</v>
      </c>
      <c r="G18" s="9">
        <v>4000</v>
      </c>
      <c r="H18" s="13" t="s">
        <v>191</v>
      </c>
      <c r="I18" s="13" t="s">
        <v>220</v>
      </c>
      <c r="J18" s="9">
        <v>8000</v>
      </c>
      <c r="K18" s="9">
        <v>5000</v>
      </c>
      <c r="L18" s="13" t="s">
        <v>191</v>
      </c>
      <c r="M18" s="13" t="s">
        <v>220</v>
      </c>
      <c r="N18" s="9">
        <v>11000</v>
      </c>
      <c r="O18" s="9">
        <v>1000</v>
      </c>
      <c r="P18" s="9">
        <v>4000</v>
      </c>
      <c r="Q18" s="269" t="s">
        <v>191</v>
      </c>
      <c r="R18" s="272">
        <f t="shared" si="4"/>
        <v>0.42307692307692307</v>
      </c>
      <c r="S18" s="272">
        <f t="shared" si="5"/>
        <v>0.26923076923076922</v>
      </c>
      <c r="T18" s="272">
        <f t="shared" si="0"/>
        <v>-0.34615384615384615</v>
      </c>
      <c r="U18" s="272">
        <f t="shared" si="6"/>
        <v>0.66666666666666663</v>
      </c>
      <c r="V18" s="272" t="e">
        <f t="shared" si="7"/>
        <v>#VALUE!</v>
      </c>
      <c r="W18" s="272" t="e">
        <f t="shared" si="1"/>
        <v>#VALUE!</v>
      </c>
      <c r="X18" s="272">
        <f t="shared" si="8"/>
        <v>0.625</v>
      </c>
      <c r="Y18" s="272" t="e">
        <f t="shared" si="9"/>
        <v>#VALUE!</v>
      </c>
      <c r="Z18" s="272" t="e">
        <f t="shared" si="2"/>
        <v>#VALUE!</v>
      </c>
      <c r="AA18" s="272">
        <f t="shared" si="10"/>
        <v>9.0909090909090912E-2</v>
      </c>
      <c r="AB18" s="272">
        <f t="shared" si="11"/>
        <v>0.36363636363636365</v>
      </c>
      <c r="AC18" s="272" t="e">
        <f t="shared" si="3"/>
        <v>#VALUE!</v>
      </c>
    </row>
    <row r="19" spans="1:29" ht="12.45" customHeight="1">
      <c r="A19" s="130" t="s">
        <v>192</v>
      </c>
      <c r="B19" s="105">
        <v>5774000</v>
      </c>
      <c r="C19" s="9">
        <v>2051000</v>
      </c>
      <c r="D19" s="9">
        <v>1800000</v>
      </c>
      <c r="E19" s="9">
        <v>1922000</v>
      </c>
      <c r="F19" s="9">
        <v>758000</v>
      </c>
      <c r="G19" s="9">
        <v>466000</v>
      </c>
      <c r="H19" s="9">
        <v>140000</v>
      </c>
      <c r="I19" s="9">
        <v>152000</v>
      </c>
      <c r="J19" s="9">
        <v>486000</v>
      </c>
      <c r="K19" s="9">
        <v>215000</v>
      </c>
      <c r="L19" s="9">
        <v>121000</v>
      </c>
      <c r="M19" s="9">
        <v>150000</v>
      </c>
      <c r="N19" s="9">
        <v>4529000</v>
      </c>
      <c r="O19" s="9">
        <v>1370000</v>
      </c>
      <c r="P19" s="9">
        <v>1539000</v>
      </c>
      <c r="Q19" s="265">
        <v>1620000</v>
      </c>
      <c r="R19" s="272">
        <f t="shared" si="4"/>
        <v>0.35521302390024245</v>
      </c>
      <c r="S19" s="272">
        <f t="shared" si="5"/>
        <v>0.31174229303775547</v>
      </c>
      <c r="T19" s="272">
        <f t="shared" si="0"/>
        <v>-0.33287149289920331</v>
      </c>
      <c r="U19" s="272">
        <f t="shared" si="6"/>
        <v>0.61477572559366755</v>
      </c>
      <c r="V19" s="272">
        <f t="shared" si="7"/>
        <v>0.18469656992084432</v>
      </c>
      <c r="W19" s="272">
        <f t="shared" si="1"/>
        <v>-0.20052770448548812</v>
      </c>
      <c r="X19" s="272">
        <f t="shared" si="8"/>
        <v>0.44238683127572015</v>
      </c>
      <c r="Y19" s="272">
        <f t="shared" si="9"/>
        <v>0.24897119341563786</v>
      </c>
      <c r="Z19" s="272">
        <f t="shared" si="2"/>
        <v>-0.30864197530864196</v>
      </c>
      <c r="AA19" s="272">
        <f t="shared" si="10"/>
        <v>0.30249503201589756</v>
      </c>
      <c r="AB19" s="272">
        <f t="shared" si="11"/>
        <v>0.33981011260763966</v>
      </c>
      <c r="AC19" s="272">
        <f t="shared" si="3"/>
        <v>-0.35769485537646278</v>
      </c>
    </row>
    <row r="20" spans="1:29" ht="12.45" customHeight="1">
      <c r="A20" s="131" t="s">
        <v>193</v>
      </c>
      <c r="B20" s="105">
        <v>869000</v>
      </c>
      <c r="C20" s="9">
        <v>301000</v>
      </c>
      <c r="D20" s="9">
        <v>367000</v>
      </c>
      <c r="E20" s="9">
        <v>201000</v>
      </c>
      <c r="F20" s="9">
        <v>123000</v>
      </c>
      <c r="G20" s="9">
        <v>69000</v>
      </c>
      <c r="H20" s="9">
        <v>32000</v>
      </c>
      <c r="I20" s="9">
        <v>22000</v>
      </c>
      <c r="J20" s="9">
        <v>37000</v>
      </c>
      <c r="K20" s="9">
        <v>8000</v>
      </c>
      <c r="L20" s="9">
        <v>14000</v>
      </c>
      <c r="M20" s="9">
        <v>15000</v>
      </c>
      <c r="N20" s="9">
        <v>708000</v>
      </c>
      <c r="O20" s="9">
        <v>224000</v>
      </c>
      <c r="P20" s="9">
        <v>320000</v>
      </c>
      <c r="Q20" s="265">
        <v>164000</v>
      </c>
      <c r="R20" s="272">
        <f t="shared" si="4"/>
        <v>0.34637514384349827</v>
      </c>
      <c r="S20" s="272">
        <f t="shared" si="5"/>
        <v>0.42232451093210588</v>
      </c>
      <c r="T20" s="272">
        <f t="shared" si="0"/>
        <v>-0.23130034522439585</v>
      </c>
      <c r="U20" s="272">
        <f t="shared" si="6"/>
        <v>0.56097560975609762</v>
      </c>
      <c r="V20" s="272">
        <f t="shared" si="7"/>
        <v>0.26016260162601629</v>
      </c>
      <c r="W20" s="272">
        <f t="shared" si="1"/>
        <v>-0.17886178861788618</v>
      </c>
      <c r="X20" s="272">
        <f t="shared" si="8"/>
        <v>0.21621621621621623</v>
      </c>
      <c r="Y20" s="272">
        <f t="shared" si="9"/>
        <v>0.3783783783783784</v>
      </c>
      <c r="Z20" s="272">
        <f t="shared" si="2"/>
        <v>-0.40540540540540543</v>
      </c>
      <c r="AA20" s="272">
        <f t="shared" si="10"/>
        <v>0.31638418079096048</v>
      </c>
      <c r="AB20" s="272">
        <f t="shared" si="11"/>
        <v>0.4519774011299435</v>
      </c>
      <c r="AC20" s="272">
        <f t="shared" si="3"/>
        <v>-0.23163841807909605</v>
      </c>
    </row>
    <row r="21" spans="1:29" ht="12.45" customHeight="1">
      <c r="A21" s="131" t="s">
        <v>194</v>
      </c>
      <c r="B21" s="105">
        <v>1039000</v>
      </c>
      <c r="C21" s="9">
        <v>267000</v>
      </c>
      <c r="D21" s="9">
        <v>335000</v>
      </c>
      <c r="E21" s="9">
        <v>437000</v>
      </c>
      <c r="F21" s="9">
        <v>115000</v>
      </c>
      <c r="G21" s="9">
        <v>56000</v>
      </c>
      <c r="H21" s="9">
        <v>23000</v>
      </c>
      <c r="I21" s="9">
        <v>36000</v>
      </c>
      <c r="J21" s="9">
        <v>67000</v>
      </c>
      <c r="K21" s="9">
        <v>19000</v>
      </c>
      <c r="L21" s="9">
        <v>19000</v>
      </c>
      <c r="M21" s="9">
        <v>29000</v>
      </c>
      <c r="N21" s="9">
        <v>858000</v>
      </c>
      <c r="O21" s="9">
        <v>192000</v>
      </c>
      <c r="P21" s="9">
        <v>293000</v>
      </c>
      <c r="Q21" s="265">
        <v>372000</v>
      </c>
      <c r="R21" s="272">
        <f t="shared" si="4"/>
        <v>0.25697786333012512</v>
      </c>
      <c r="S21" s="272">
        <f t="shared" si="5"/>
        <v>0.32242540904716072</v>
      </c>
      <c r="T21" s="272">
        <f t="shared" si="0"/>
        <v>-0.42059672762271416</v>
      </c>
      <c r="U21" s="272">
        <f t="shared" si="6"/>
        <v>0.48695652173913045</v>
      </c>
      <c r="V21" s="272">
        <f t="shared" si="7"/>
        <v>0.2</v>
      </c>
      <c r="W21" s="272">
        <f t="shared" si="1"/>
        <v>-0.31304347826086959</v>
      </c>
      <c r="X21" s="272">
        <f t="shared" si="8"/>
        <v>0.28358208955223879</v>
      </c>
      <c r="Y21" s="272">
        <f t="shared" si="9"/>
        <v>0.28358208955223879</v>
      </c>
      <c r="Z21" s="272">
        <f t="shared" si="2"/>
        <v>-0.43283582089552236</v>
      </c>
      <c r="AA21" s="272">
        <f t="shared" si="10"/>
        <v>0.22377622377622378</v>
      </c>
      <c r="AB21" s="272">
        <f t="shared" si="11"/>
        <v>0.34149184149184147</v>
      </c>
      <c r="AC21" s="272">
        <f t="shared" si="3"/>
        <v>-0.43356643356643354</v>
      </c>
    </row>
    <row r="22" spans="1:29" ht="12.45" customHeight="1">
      <c r="A22" s="131" t="s">
        <v>195</v>
      </c>
      <c r="B22" s="105">
        <v>2336000</v>
      </c>
      <c r="C22" s="9">
        <v>1050000</v>
      </c>
      <c r="D22" s="9">
        <v>648000</v>
      </c>
      <c r="E22" s="9">
        <v>638000</v>
      </c>
      <c r="F22" s="9">
        <v>337000</v>
      </c>
      <c r="G22" s="9">
        <v>248000</v>
      </c>
      <c r="H22" s="9">
        <v>43000</v>
      </c>
      <c r="I22" s="9">
        <v>46000</v>
      </c>
      <c r="J22" s="9">
        <v>238000</v>
      </c>
      <c r="K22" s="9">
        <v>131000</v>
      </c>
      <c r="L22" s="9">
        <v>66000</v>
      </c>
      <c r="M22" s="9">
        <v>41000</v>
      </c>
      <c r="N22" s="9">
        <v>1761000</v>
      </c>
      <c r="O22" s="9">
        <v>671000</v>
      </c>
      <c r="P22" s="9">
        <v>539000</v>
      </c>
      <c r="Q22" s="265">
        <v>551000</v>
      </c>
      <c r="R22" s="272">
        <f t="shared" si="4"/>
        <v>0.44948630136986301</v>
      </c>
      <c r="S22" s="272">
        <f t="shared" si="5"/>
        <v>0.2773972602739726</v>
      </c>
      <c r="T22" s="272">
        <f t="shared" si="0"/>
        <v>-0.27311643835616439</v>
      </c>
      <c r="U22" s="272">
        <f t="shared" si="6"/>
        <v>0.73590504451038574</v>
      </c>
      <c r="V22" s="272">
        <f t="shared" si="7"/>
        <v>0.12759643916913946</v>
      </c>
      <c r="W22" s="272">
        <f t="shared" si="1"/>
        <v>-0.13649851632047477</v>
      </c>
      <c r="X22" s="272">
        <f t="shared" si="8"/>
        <v>0.55042016806722693</v>
      </c>
      <c r="Y22" s="272">
        <f t="shared" si="9"/>
        <v>0.27731092436974791</v>
      </c>
      <c r="Z22" s="272">
        <f t="shared" si="2"/>
        <v>-0.17226890756302521</v>
      </c>
      <c r="AA22" s="272">
        <f t="shared" si="10"/>
        <v>0.38103350369108463</v>
      </c>
      <c r="AB22" s="272">
        <f t="shared" si="11"/>
        <v>0.30607609312890405</v>
      </c>
      <c r="AC22" s="272">
        <f t="shared" si="3"/>
        <v>-0.31289040318001138</v>
      </c>
    </row>
    <row r="23" spans="1:29" ht="12.45" customHeight="1">
      <c r="A23" s="131" t="s">
        <v>196</v>
      </c>
      <c r="B23" s="105">
        <v>929000</v>
      </c>
      <c r="C23" s="9">
        <v>230000</v>
      </c>
      <c r="D23" s="9">
        <v>302000</v>
      </c>
      <c r="E23" s="9">
        <v>398000</v>
      </c>
      <c r="F23" s="9">
        <v>112000</v>
      </c>
      <c r="G23" s="9">
        <v>58000</v>
      </c>
      <c r="H23" s="9">
        <v>26000</v>
      </c>
      <c r="I23" s="9">
        <v>29000</v>
      </c>
      <c r="J23" s="9">
        <v>73000</v>
      </c>
      <c r="K23" s="9">
        <v>15000</v>
      </c>
      <c r="L23" s="9">
        <v>14000</v>
      </c>
      <c r="M23" s="9">
        <v>45000</v>
      </c>
      <c r="N23" s="9">
        <v>744000</v>
      </c>
      <c r="O23" s="9">
        <v>157000</v>
      </c>
      <c r="P23" s="9">
        <v>262000</v>
      </c>
      <c r="Q23" s="265">
        <v>324000</v>
      </c>
      <c r="R23" s="272">
        <f t="shared" si="4"/>
        <v>0.24757804090419805</v>
      </c>
      <c r="S23" s="272">
        <f t="shared" si="5"/>
        <v>0.32508073196986004</v>
      </c>
      <c r="T23" s="272">
        <f t="shared" si="0"/>
        <v>-0.42841765339074273</v>
      </c>
      <c r="U23" s="272">
        <f t="shared" si="6"/>
        <v>0.5178571428571429</v>
      </c>
      <c r="V23" s="272">
        <f t="shared" si="7"/>
        <v>0.23214285714285715</v>
      </c>
      <c r="W23" s="272">
        <f t="shared" si="1"/>
        <v>-0.25892857142857145</v>
      </c>
      <c r="X23" s="272">
        <f t="shared" si="8"/>
        <v>0.20547945205479451</v>
      </c>
      <c r="Y23" s="272">
        <f t="shared" si="9"/>
        <v>0.19178082191780821</v>
      </c>
      <c r="Z23" s="272">
        <f t="shared" si="2"/>
        <v>-0.61643835616438358</v>
      </c>
      <c r="AA23" s="272">
        <f t="shared" si="10"/>
        <v>0.21102150537634409</v>
      </c>
      <c r="AB23" s="272">
        <f t="shared" si="11"/>
        <v>0.35215053763440862</v>
      </c>
      <c r="AC23" s="272">
        <f t="shared" si="3"/>
        <v>-0.43548387096774194</v>
      </c>
    </row>
    <row r="24" spans="1:29" ht="12.45" customHeight="1">
      <c r="A24" s="131" t="s">
        <v>197</v>
      </c>
      <c r="B24" s="105">
        <v>600000</v>
      </c>
      <c r="C24" s="9">
        <v>203000</v>
      </c>
      <c r="D24" s="9">
        <v>149000</v>
      </c>
      <c r="E24" s="9">
        <v>248000</v>
      </c>
      <c r="F24" s="9">
        <v>71000</v>
      </c>
      <c r="G24" s="9">
        <v>37000</v>
      </c>
      <c r="H24" s="9">
        <v>16000</v>
      </c>
      <c r="I24" s="9">
        <v>18000</v>
      </c>
      <c r="J24" s="9">
        <v>71000</v>
      </c>
      <c r="K24" s="9">
        <v>42000</v>
      </c>
      <c r="L24" s="9">
        <v>9000</v>
      </c>
      <c r="M24" s="9">
        <v>21000</v>
      </c>
      <c r="N24" s="9">
        <v>458000</v>
      </c>
      <c r="O24" s="9">
        <v>125000</v>
      </c>
      <c r="P24" s="9">
        <v>124000</v>
      </c>
      <c r="Q24" s="265">
        <v>209000</v>
      </c>
      <c r="R24" s="272">
        <f t="shared" si="4"/>
        <v>0.33833333333333332</v>
      </c>
      <c r="S24" s="272">
        <f t="shared" si="5"/>
        <v>0.24833333333333332</v>
      </c>
      <c r="T24" s="272">
        <f t="shared" si="0"/>
        <v>-0.41333333333333333</v>
      </c>
      <c r="U24" s="272">
        <f t="shared" si="6"/>
        <v>0.52112676056338025</v>
      </c>
      <c r="V24" s="272">
        <f t="shared" si="7"/>
        <v>0.22535211267605634</v>
      </c>
      <c r="W24" s="272">
        <f t="shared" si="1"/>
        <v>-0.25352112676056338</v>
      </c>
      <c r="X24" s="272">
        <f t="shared" si="8"/>
        <v>0.59154929577464788</v>
      </c>
      <c r="Y24" s="272">
        <f t="shared" si="9"/>
        <v>0.12676056338028169</v>
      </c>
      <c r="Z24" s="272">
        <f t="shared" si="2"/>
        <v>-0.29577464788732394</v>
      </c>
      <c r="AA24" s="272">
        <f t="shared" si="10"/>
        <v>0.27292576419213976</v>
      </c>
      <c r="AB24" s="272">
        <f t="shared" si="11"/>
        <v>0.27074235807860264</v>
      </c>
      <c r="AC24" s="272">
        <f t="shared" si="3"/>
        <v>-0.45633187772925765</v>
      </c>
    </row>
    <row r="25" spans="1:29" ht="12.45" customHeight="1">
      <c r="A25" s="130" t="s">
        <v>198</v>
      </c>
      <c r="B25" s="105">
        <v>4011000</v>
      </c>
      <c r="C25" s="9">
        <v>2395000</v>
      </c>
      <c r="D25" s="9">
        <v>1181000</v>
      </c>
      <c r="E25" s="9">
        <v>434000</v>
      </c>
      <c r="F25" s="9">
        <v>2277000</v>
      </c>
      <c r="G25" s="9">
        <v>1626000</v>
      </c>
      <c r="H25" s="9">
        <v>569000</v>
      </c>
      <c r="I25" s="9">
        <v>82000</v>
      </c>
      <c r="J25" s="9">
        <v>641000</v>
      </c>
      <c r="K25" s="9">
        <v>407000</v>
      </c>
      <c r="L25" s="9">
        <v>201000</v>
      </c>
      <c r="M25" s="9">
        <v>33000</v>
      </c>
      <c r="N25" s="9">
        <v>1093000</v>
      </c>
      <c r="O25" s="9">
        <v>362000</v>
      </c>
      <c r="P25" s="9">
        <v>412000</v>
      </c>
      <c r="Q25" s="265">
        <v>320000</v>
      </c>
      <c r="R25" s="272">
        <f t="shared" si="4"/>
        <v>0.59710795312889553</v>
      </c>
      <c r="S25" s="272">
        <f t="shared" si="5"/>
        <v>0.29444028920468712</v>
      </c>
      <c r="T25" s="272">
        <f t="shared" si="0"/>
        <v>-0.10820244328097731</v>
      </c>
      <c r="U25" s="272">
        <f t="shared" si="6"/>
        <v>0.71409749670619238</v>
      </c>
      <c r="V25" s="272">
        <f t="shared" si="7"/>
        <v>0.24989020641194554</v>
      </c>
      <c r="W25" s="272">
        <f t="shared" si="1"/>
        <v>-3.6012296881862096E-2</v>
      </c>
      <c r="X25" s="272">
        <f t="shared" si="8"/>
        <v>0.63494539781591264</v>
      </c>
      <c r="Y25" s="272">
        <f t="shared" si="9"/>
        <v>0.31357254290171604</v>
      </c>
      <c r="Z25" s="272">
        <f t="shared" si="2"/>
        <v>-5.1482059282371297E-2</v>
      </c>
      <c r="AA25" s="272">
        <f t="shared" si="10"/>
        <v>0.3311985361390668</v>
      </c>
      <c r="AB25" s="272">
        <f t="shared" si="11"/>
        <v>0.37694419030192133</v>
      </c>
      <c r="AC25" s="272">
        <f t="shared" si="3"/>
        <v>-0.29277218664226901</v>
      </c>
    </row>
    <row r="26" spans="1:29" ht="12.45" customHeight="1">
      <c r="A26" s="131" t="s">
        <v>199</v>
      </c>
      <c r="B26" s="105">
        <v>145000</v>
      </c>
      <c r="C26" s="9">
        <v>81000</v>
      </c>
      <c r="D26" s="9">
        <v>48000</v>
      </c>
      <c r="E26" s="9">
        <v>16000</v>
      </c>
      <c r="F26" s="9">
        <v>84000</v>
      </c>
      <c r="G26" s="9">
        <v>55000</v>
      </c>
      <c r="H26" s="9">
        <v>24000</v>
      </c>
      <c r="I26" s="9">
        <v>5000</v>
      </c>
      <c r="J26" s="9">
        <v>18000</v>
      </c>
      <c r="K26" s="9">
        <v>11000</v>
      </c>
      <c r="L26" s="9">
        <v>5000</v>
      </c>
      <c r="M26" s="13" t="s">
        <v>220</v>
      </c>
      <c r="N26" s="9">
        <v>43000</v>
      </c>
      <c r="O26" s="9">
        <v>15000</v>
      </c>
      <c r="P26" s="9">
        <v>19000</v>
      </c>
      <c r="Q26" s="265">
        <v>9000</v>
      </c>
      <c r="R26" s="272">
        <f t="shared" si="4"/>
        <v>0.55862068965517242</v>
      </c>
      <c r="S26" s="272">
        <f t="shared" si="5"/>
        <v>0.33103448275862069</v>
      </c>
      <c r="T26" s="272">
        <f t="shared" si="0"/>
        <v>-0.1103448275862069</v>
      </c>
      <c r="U26" s="272">
        <f t="shared" si="6"/>
        <v>0.65476190476190477</v>
      </c>
      <c r="V26" s="272">
        <f t="shared" si="7"/>
        <v>0.2857142857142857</v>
      </c>
      <c r="W26" s="272">
        <f t="shared" si="1"/>
        <v>-5.9523809523809521E-2</v>
      </c>
      <c r="X26" s="272">
        <f t="shared" si="8"/>
        <v>0.61111111111111116</v>
      </c>
      <c r="Y26" s="272">
        <f t="shared" si="9"/>
        <v>0.27777777777777779</v>
      </c>
      <c r="Z26" s="272" t="e">
        <f t="shared" si="2"/>
        <v>#VALUE!</v>
      </c>
      <c r="AA26" s="272">
        <f t="shared" si="10"/>
        <v>0.34883720930232559</v>
      </c>
      <c r="AB26" s="272">
        <f t="shared" si="11"/>
        <v>0.44186046511627908</v>
      </c>
      <c r="AC26" s="272">
        <f t="shared" si="3"/>
        <v>-0.20930232558139536</v>
      </c>
    </row>
    <row r="27" spans="1:29" ht="12.45" customHeight="1">
      <c r="A27" s="131" t="s">
        <v>200</v>
      </c>
      <c r="B27" s="105">
        <v>269000</v>
      </c>
      <c r="C27" s="9">
        <v>123000</v>
      </c>
      <c r="D27" s="9">
        <v>95000</v>
      </c>
      <c r="E27" s="9">
        <v>52000</v>
      </c>
      <c r="F27" s="9">
        <v>148000</v>
      </c>
      <c r="G27" s="9">
        <v>80000</v>
      </c>
      <c r="H27" s="9">
        <v>56000</v>
      </c>
      <c r="I27" s="9">
        <v>12000</v>
      </c>
      <c r="J27" s="9">
        <v>37000</v>
      </c>
      <c r="K27" s="9">
        <v>22000</v>
      </c>
      <c r="L27" s="9">
        <v>13000</v>
      </c>
      <c r="M27" s="9">
        <v>2000</v>
      </c>
      <c r="N27" s="9">
        <v>84000</v>
      </c>
      <c r="O27" s="9">
        <v>20000</v>
      </c>
      <c r="P27" s="9">
        <v>25000</v>
      </c>
      <c r="Q27" s="265">
        <v>38000</v>
      </c>
      <c r="R27" s="272">
        <f t="shared" si="4"/>
        <v>0.45724907063197023</v>
      </c>
      <c r="S27" s="272">
        <f t="shared" si="5"/>
        <v>0.35315985130111527</v>
      </c>
      <c r="T27" s="272">
        <f t="shared" si="0"/>
        <v>-0.19330855018587362</v>
      </c>
      <c r="U27" s="272">
        <f t="shared" si="6"/>
        <v>0.54054054054054057</v>
      </c>
      <c r="V27" s="272">
        <f t="shared" si="7"/>
        <v>0.3783783783783784</v>
      </c>
      <c r="W27" s="272">
        <f t="shared" si="1"/>
        <v>-8.1081081081081086E-2</v>
      </c>
      <c r="X27" s="272">
        <f t="shared" si="8"/>
        <v>0.59459459459459463</v>
      </c>
      <c r="Y27" s="272">
        <f t="shared" si="9"/>
        <v>0.35135135135135137</v>
      </c>
      <c r="Z27" s="272">
        <f t="shared" si="2"/>
        <v>-5.4054054054054057E-2</v>
      </c>
      <c r="AA27" s="272">
        <f t="shared" si="10"/>
        <v>0.23809523809523808</v>
      </c>
      <c r="AB27" s="272">
        <f t="shared" si="11"/>
        <v>0.29761904761904762</v>
      </c>
      <c r="AC27" s="272">
        <f t="shared" si="3"/>
        <v>-0.45238095238095238</v>
      </c>
    </row>
    <row r="28" spans="1:29" ht="12.45" customHeight="1">
      <c r="A28" s="131" t="s">
        <v>201</v>
      </c>
      <c r="B28" s="105">
        <v>543000</v>
      </c>
      <c r="C28" s="9">
        <v>364000</v>
      </c>
      <c r="D28" s="9">
        <v>111000</v>
      </c>
      <c r="E28" s="9">
        <v>68000</v>
      </c>
      <c r="F28" s="9">
        <v>296000</v>
      </c>
      <c r="G28" s="9">
        <v>243000</v>
      </c>
      <c r="H28" s="9">
        <v>37000</v>
      </c>
      <c r="I28" s="9">
        <v>16000</v>
      </c>
      <c r="J28" s="9">
        <v>96000</v>
      </c>
      <c r="K28" s="9">
        <v>70000</v>
      </c>
      <c r="L28" s="9">
        <v>19000</v>
      </c>
      <c r="M28" s="9">
        <v>8000</v>
      </c>
      <c r="N28" s="9">
        <v>151000</v>
      </c>
      <c r="O28" s="9">
        <v>52000</v>
      </c>
      <c r="P28" s="9">
        <v>56000</v>
      </c>
      <c r="Q28" s="265">
        <v>44000</v>
      </c>
      <c r="R28" s="272">
        <f t="shared" si="4"/>
        <v>0.67034990791896865</v>
      </c>
      <c r="S28" s="272">
        <f t="shared" si="5"/>
        <v>0.20441988950276244</v>
      </c>
      <c r="T28" s="272">
        <f t="shared" si="0"/>
        <v>-0.12523020257826889</v>
      </c>
      <c r="U28" s="272">
        <f t="shared" si="6"/>
        <v>0.82094594594594594</v>
      </c>
      <c r="V28" s="272">
        <f t="shared" si="7"/>
        <v>0.125</v>
      </c>
      <c r="W28" s="272">
        <f t="shared" si="1"/>
        <v>-5.4054054054054057E-2</v>
      </c>
      <c r="X28" s="272">
        <f t="shared" si="8"/>
        <v>0.72916666666666663</v>
      </c>
      <c r="Y28" s="272">
        <f t="shared" si="9"/>
        <v>0.19791666666666666</v>
      </c>
      <c r="Z28" s="272">
        <f t="shared" si="2"/>
        <v>-8.3333333333333329E-2</v>
      </c>
      <c r="AA28" s="272">
        <f t="shared" si="10"/>
        <v>0.3443708609271523</v>
      </c>
      <c r="AB28" s="272">
        <f t="shared" si="11"/>
        <v>0.37086092715231789</v>
      </c>
      <c r="AC28" s="272">
        <f t="shared" si="3"/>
        <v>-0.29139072847682118</v>
      </c>
    </row>
    <row r="29" spans="1:29" ht="12.45" customHeight="1">
      <c r="A29" s="131" t="s">
        <v>202</v>
      </c>
      <c r="B29" s="105">
        <v>1409000</v>
      </c>
      <c r="C29" s="9">
        <v>930000</v>
      </c>
      <c r="D29" s="9">
        <v>382000</v>
      </c>
      <c r="E29" s="9">
        <v>96000</v>
      </c>
      <c r="F29" s="9">
        <v>885000</v>
      </c>
      <c r="G29" s="9">
        <v>673000</v>
      </c>
      <c r="H29" s="9">
        <v>197000</v>
      </c>
      <c r="I29" s="9">
        <v>15000</v>
      </c>
      <c r="J29" s="9">
        <v>245000</v>
      </c>
      <c r="K29" s="9">
        <v>147000</v>
      </c>
      <c r="L29" s="9">
        <v>90000</v>
      </c>
      <c r="M29" s="9">
        <v>8000</v>
      </c>
      <c r="N29" s="9">
        <v>278000</v>
      </c>
      <c r="O29" s="9">
        <v>110000</v>
      </c>
      <c r="P29" s="9">
        <v>95000</v>
      </c>
      <c r="Q29" s="265">
        <v>73000</v>
      </c>
      <c r="R29" s="272">
        <f t="shared" si="4"/>
        <v>0.6600425833924769</v>
      </c>
      <c r="S29" s="272">
        <f t="shared" si="5"/>
        <v>0.27111426543647976</v>
      </c>
      <c r="T29" s="272">
        <f t="shared" si="0"/>
        <v>-6.8133427963094392E-2</v>
      </c>
      <c r="U29" s="272">
        <f t="shared" si="6"/>
        <v>0.76045197740112991</v>
      </c>
      <c r="V29" s="272">
        <f t="shared" si="7"/>
        <v>0.22259887005649717</v>
      </c>
      <c r="W29" s="272">
        <f t="shared" si="1"/>
        <v>-1.6949152542372881E-2</v>
      </c>
      <c r="X29" s="272">
        <f t="shared" si="8"/>
        <v>0.6</v>
      </c>
      <c r="Y29" s="272">
        <f t="shared" si="9"/>
        <v>0.36734693877551022</v>
      </c>
      <c r="Z29" s="272">
        <f t="shared" si="2"/>
        <v>-3.2653061224489799E-2</v>
      </c>
      <c r="AA29" s="272">
        <f t="shared" si="10"/>
        <v>0.39568345323741005</v>
      </c>
      <c r="AB29" s="272">
        <f t="shared" si="11"/>
        <v>0.34172661870503596</v>
      </c>
      <c r="AC29" s="272">
        <f t="shared" si="3"/>
        <v>-0.26258992805755393</v>
      </c>
    </row>
    <row r="30" spans="1:29" ht="12.45" customHeight="1">
      <c r="A30" s="131" t="s">
        <v>203</v>
      </c>
      <c r="B30" s="105">
        <v>230000</v>
      </c>
      <c r="C30" s="9">
        <v>108000</v>
      </c>
      <c r="D30" s="9">
        <v>95000</v>
      </c>
      <c r="E30" s="9">
        <v>27000</v>
      </c>
      <c r="F30" s="9">
        <v>82000</v>
      </c>
      <c r="G30" s="9">
        <v>44000</v>
      </c>
      <c r="H30" s="9">
        <v>36000</v>
      </c>
      <c r="I30" s="9">
        <v>1000</v>
      </c>
      <c r="J30" s="9">
        <v>41000</v>
      </c>
      <c r="K30" s="9">
        <v>22000</v>
      </c>
      <c r="L30" s="9">
        <v>17000</v>
      </c>
      <c r="M30" s="13" t="s">
        <v>191</v>
      </c>
      <c r="N30" s="9">
        <v>107000</v>
      </c>
      <c r="O30" s="9">
        <v>42000</v>
      </c>
      <c r="P30" s="9">
        <v>42000</v>
      </c>
      <c r="Q30" s="265">
        <v>23000</v>
      </c>
      <c r="R30" s="272">
        <f t="shared" si="4"/>
        <v>0.46956521739130436</v>
      </c>
      <c r="S30" s="272">
        <f t="shared" si="5"/>
        <v>0.41304347826086957</v>
      </c>
      <c r="T30" s="272">
        <f t="shared" si="0"/>
        <v>-0.11739130434782609</v>
      </c>
      <c r="U30" s="272">
        <f t="shared" si="6"/>
        <v>0.53658536585365857</v>
      </c>
      <c r="V30" s="272">
        <f t="shared" si="7"/>
        <v>0.43902439024390244</v>
      </c>
      <c r="W30" s="272">
        <f t="shared" si="1"/>
        <v>-1.2195121951219513E-2</v>
      </c>
      <c r="X30" s="272">
        <f t="shared" si="8"/>
        <v>0.53658536585365857</v>
      </c>
      <c r="Y30" s="272">
        <f t="shared" si="9"/>
        <v>0.41463414634146339</v>
      </c>
      <c r="Z30" s="272" t="e">
        <f t="shared" si="2"/>
        <v>#VALUE!</v>
      </c>
      <c r="AA30" s="272">
        <f t="shared" si="10"/>
        <v>0.3925233644859813</v>
      </c>
      <c r="AB30" s="272">
        <f t="shared" si="11"/>
        <v>0.3925233644859813</v>
      </c>
      <c r="AC30" s="272">
        <f t="shared" si="3"/>
        <v>-0.21495327102803738</v>
      </c>
    </row>
    <row r="31" spans="1:29" ht="12.45" customHeight="1">
      <c r="A31" s="131" t="s">
        <v>204</v>
      </c>
      <c r="B31" s="105">
        <v>848000</v>
      </c>
      <c r="C31" s="9">
        <v>452000</v>
      </c>
      <c r="D31" s="9">
        <v>295000</v>
      </c>
      <c r="E31" s="9">
        <v>101000</v>
      </c>
      <c r="F31" s="9">
        <v>500000</v>
      </c>
      <c r="G31" s="9">
        <v>328000</v>
      </c>
      <c r="H31" s="9">
        <v>155000</v>
      </c>
      <c r="I31" s="9">
        <v>17000</v>
      </c>
      <c r="J31" s="9">
        <v>110000</v>
      </c>
      <c r="K31" s="9">
        <v>70000</v>
      </c>
      <c r="L31" s="9">
        <v>34000</v>
      </c>
      <c r="M31" s="9">
        <v>6000</v>
      </c>
      <c r="N31" s="9">
        <v>238000</v>
      </c>
      <c r="O31" s="9">
        <v>54000</v>
      </c>
      <c r="P31" s="9">
        <v>106000</v>
      </c>
      <c r="Q31" s="265">
        <v>78000</v>
      </c>
      <c r="R31" s="272">
        <f t="shared" si="4"/>
        <v>0.53301886792452835</v>
      </c>
      <c r="S31" s="272">
        <f t="shared" si="5"/>
        <v>0.34787735849056606</v>
      </c>
      <c r="T31" s="272">
        <f t="shared" si="0"/>
        <v>-0.11910377358490566</v>
      </c>
      <c r="U31" s="272">
        <f t="shared" si="6"/>
        <v>0.65600000000000003</v>
      </c>
      <c r="V31" s="272">
        <f t="shared" si="7"/>
        <v>0.31</v>
      </c>
      <c r="W31" s="272">
        <f t="shared" si="1"/>
        <v>-3.4000000000000002E-2</v>
      </c>
      <c r="X31" s="272">
        <f t="shared" si="8"/>
        <v>0.63636363636363635</v>
      </c>
      <c r="Y31" s="272">
        <f t="shared" si="9"/>
        <v>0.30909090909090908</v>
      </c>
      <c r="Z31" s="272">
        <f t="shared" si="2"/>
        <v>-5.4545454545454543E-2</v>
      </c>
      <c r="AA31" s="272">
        <f t="shared" si="10"/>
        <v>0.22689075630252101</v>
      </c>
      <c r="AB31" s="272">
        <f t="shared" si="11"/>
        <v>0.44537815126050423</v>
      </c>
      <c r="AC31" s="272">
        <f t="shared" si="3"/>
        <v>-0.32773109243697479</v>
      </c>
    </row>
    <row r="32" spans="1:29" ht="12.45" customHeight="1">
      <c r="A32" s="131" t="s">
        <v>205</v>
      </c>
      <c r="B32" s="105">
        <v>567000</v>
      </c>
      <c r="C32" s="9">
        <v>337000</v>
      </c>
      <c r="D32" s="9">
        <v>155000</v>
      </c>
      <c r="E32" s="9">
        <v>75000</v>
      </c>
      <c r="F32" s="9">
        <v>283000</v>
      </c>
      <c r="G32" s="9">
        <v>204000</v>
      </c>
      <c r="H32" s="9">
        <v>64000</v>
      </c>
      <c r="I32" s="9">
        <v>15000</v>
      </c>
      <c r="J32" s="9">
        <v>93000</v>
      </c>
      <c r="K32" s="9">
        <v>65000</v>
      </c>
      <c r="L32" s="9">
        <v>23000</v>
      </c>
      <c r="M32" s="9">
        <v>5000</v>
      </c>
      <c r="N32" s="9">
        <v>191000</v>
      </c>
      <c r="O32" s="9">
        <v>68000</v>
      </c>
      <c r="P32" s="9">
        <v>68000</v>
      </c>
      <c r="Q32" s="265">
        <v>54000</v>
      </c>
      <c r="R32" s="272">
        <f t="shared" si="4"/>
        <v>0.59435626102292771</v>
      </c>
      <c r="S32" s="272">
        <f t="shared" si="5"/>
        <v>0.27336860670194002</v>
      </c>
      <c r="T32" s="272">
        <f t="shared" si="0"/>
        <v>-0.13227513227513227</v>
      </c>
      <c r="U32" s="272">
        <f t="shared" si="6"/>
        <v>0.72084805653710249</v>
      </c>
      <c r="V32" s="272">
        <f t="shared" si="7"/>
        <v>0.22614840989399293</v>
      </c>
      <c r="W32" s="272">
        <f t="shared" si="1"/>
        <v>-5.3003533568904596E-2</v>
      </c>
      <c r="X32" s="272">
        <f t="shared" si="8"/>
        <v>0.69892473118279574</v>
      </c>
      <c r="Y32" s="272">
        <f t="shared" si="9"/>
        <v>0.24731182795698925</v>
      </c>
      <c r="Z32" s="272">
        <f t="shared" si="2"/>
        <v>-5.3763440860215055E-2</v>
      </c>
      <c r="AA32" s="272">
        <f t="shared" si="10"/>
        <v>0.35602094240837695</v>
      </c>
      <c r="AB32" s="272">
        <f t="shared" si="11"/>
        <v>0.35602094240837695</v>
      </c>
      <c r="AC32" s="272">
        <f t="shared" si="3"/>
        <v>-0.28272251308900526</v>
      </c>
    </row>
    <row r="33" spans="1:29" ht="12.45" customHeight="1">
      <c r="A33" s="129" t="s">
        <v>206</v>
      </c>
      <c r="B33" s="105">
        <v>7822000</v>
      </c>
      <c r="C33" s="9">
        <v>6078000</v>
      </c>
      <c r="D33" s="9">
        <v>1027000</v>
      </c>
      <c r="E33" s="9">
        <v>717000</v>
      </c>
      <c r="F33" s="9">
        <v>439000</v>
      </c>
      <c r="G33" s="9">
        <v>308000</v>
      </c>
      <c r="H33" s="9">
        <v>96000</v>
      </c>
      <c r="I33" s="9">
        <v>35000</v>
      </c>
      <c r="J33" s="9">
        <v>5519000</v>
      </c>
      <c r="K33" s="9">
        <v>5014000</v>
      </c>
      <c r="L33" s="9">
        <v>422000</v>
      </c>
      <c r="M33" s="9">
        <v>84000</v>
      </c>
      <c r="N33" s="9">
        <v>1863000</v>
      </c>
      <c r="O33" s="9">
        <v>756000</v>
      </c>
      <c r="P33" s="9">
        <v>509000</v>
      </c>
      <c r="Q33" s="265">
        <v>598000</v>
      </c>
      <c r="R33" s="272">
        <f t="shared" si="4"/>
        <v>0.77703912042955769</v>
      </c>
      <c r="S33" s="272">
        <f t="shared" si="5"/>
        <v>0.1312963436461263</v>
      </c>
      <c r="T33" s="272">
        <f t="shared" si="0"/>
        <v>-9.1664535924316032E-2</v>
      </c>
      <c r="U33" s="272">
        <f t="shared" si="6"/>
        <v>0.70159453302961272</v>
      </c>
      <c r="V33" s="272">
        <f t="shared" si="7"/>
        <v>0.21867881548974943</v>
      </c>
      <c r="W33" s="272">
        <f t="shared" si="1"/>
        <v>-7.9726651480637817E-2</v>
      </c>
      <c r="X33" s="272">
        <f t="shared" si="8"/>
        <v>0.90849791628918286</v>
      </c>
      <c r="Y33" s="272">
        <f t="shared" si="9"/>
        <v>7.6463127378148213E-2</v>
      </c>
      <c r="Z33" s="272">
        <f t="shared" si="2"/>
        <v>-1.5220148577640877E-2</v>
      </c>
      <c r="AA33" s="272">
        <f t="shared" si="10"/>
        <v>0.40579710144927539</v>
      </c>
      <c r="AB33" s="272">
        <f t="shared" si="11"/>
        <v>0.27321524422973698</v>
      </c>
      <c r="AC33" s="272">
        <f t="shared" si="3"/>
        <v>-0.32098765432098764</v>
      </c>
    </row>
    <row r="34" spans="1:29" ht="12.45" customHeight="1">
      <c r="A34" s="130" t="s">
        <v>207</v>
      </c>
      <c r="B34" s="105">
        <v>6364000</v>
      </c>
      <c r="C34" s="9">
        <v>5183000</v>
      </c>
      <c r="D34" s="9">
        <v>699000</v>
      </c>
      <c r="E34" s="9">
        <v>482000</v>
      </c>
      <c r="F34" s="9">
        <v>190000</v>
      </c>
      <c r="G34" s="9">
        <v>134000</v>
      </c>
      <c r="H34" s="9">
        <v>39000</v>
      </c>
      <c r="I34" s="9">
        <v>17000</v>
      </c>
      <c r="J34" s="9">
        <v>4983000</v>
      </c>
      <c r="K34" s="9">
        <v>4556000</v>
      </c>
      <c r="L34" s="9">
        <v>357000</v>
      </c>
      <c r="M34" s="9">
        <v>71000</v>
      </c>
      <c r="N34" s="9">
        <v>1191000</v>
      </c>
      <c r="O34" s="9">
        <v>493000</v>
      </c>
      <c r="P34" s="9">
        <v>303000</v>
      </c>
      <c r="Q34" s="265">
        <v>394000</v>
      </c>
      <c r="R34" s="272">
        <f t="shared" si="4"/>
        <v>0.81442489000628537</v>
      </c>
      <c r="S34" s="272">
        <f t="shared" si="5"/>
        <v>0.10983658076681332</v>
      </c>
      <c r="T34" s="272">
        <f t="shared" si="0"/>
        <v>-7.5738529226901316E-2</v>
      </c>
      <c r="U34" s="272">
        <f t="shared" si="6"/>
        <v>0.70526315789473681</v>
      </c>
      <c r="V34" s="272">
        <f t="shared" si="7"/>
        <v>0.20526315789473684</v>
      </c>
      <c r="W34" s="272">
        <f t="shared" si="1"/>
        <v>-8.9473684210526316E-2</v>
      </c>
      <c r="X34" s="272">
        <f t="shared" si="8"/>
        <v>0.91430864940798717</v>
      </c>
      <c r="Y34" s="272">
        <f t="shared" si="9"/>
        <v>7.1643588199879593E-2</v>
      </c>
      <c r="Z34" s="272">
        <f t="shared" si="2"/>
        <v>-1.4248444712020872E-2</v>
      </c>
      <c r="AA34" s="272">
        <f t="shared" si="10"/>
        <v>0.41393786733837112</v>
      </c>
      <c r="AB34" s="272">
        <f t="shared" si="11"/>
        <v>0.25440806045340053</v>
      </c>
      <c r="AC34" s="272">
        <f t="shared" si="3"/>
        <v>-0.33081444164567592</v>
      </c>
    </row>
    <row r="35" spans="1:29" ht="12.45" customHeight="1">
      <c r="A35" s="130" t="s">
        <v>208</v>
      </c>
      <c r="B35" s="105">
        <v>429000</v>
      </c>
      <c r="C35" s="9">
        <v>298000</v>
      </c>
      <c r="D35" s="9">
        <v>70000</v>
      </c>
      <c r="E35" s="9">
        <v>60000</v>
      </c>
      <c r="F35" s="9">
        <v>30000</v>
      </c>
      <c r="G35" s="9">
        <v>14000</v>
      </c>
      <c r="H35" s="13" t="s">
        <v>191</v>
      </c>
      <c r="I35" s="9">
        <v>6000</v>
      </c>
      <c r="J35" s="9">
        <v>223000</v>
      </c>
      <c r="K35" s="9">
        <v>201000</v>
      </c>
      <c r="L35" s="9">
        <v>21000</v>
      </c>
      <c r="M35" s="9">
        <v>1000</v>
      </c>
      <c r="N35" s="9">
        <v>175000</v>
      </c>
      <c r="O35" s="9">
        <v>83000</v>
      </c>
      <c r="P35" s="9">
        <v>40000</v>
      </c>
      <c r="Q35" s="265">
        <v>53000</v>
      </c>
      <c r="R35" s="272">
        <f t="shared" si="4"/>
        <v>0.69463869463869465</v>
      </c>
      <c r="S35" s="272">
        <f t="shared" si="5"/>
        <v>0.16317016317016317</v>
      </c>
      <c r="T35" s="272">
        <f t="shared" si="0"/>
        <v>-0.13986013986013987</v>
      </c>
      <c r="U35" s="272">
        <f t="shared" si="6"/>
        <v>0.46666666666666667</v>
      </c>
      <c r="V35" s="272" t="e">
        <f t="shared" si="7"/>
        <v>#VALUE!</v>
      </c>
      <c r="W35" s="272">
        <f t="shared" si="1"/>
        <v>-0.2</v>
      </c>
      <c r="X35" s="272">
        <f t="shared" si="8"/>
        <v>0.90134529147982068</v>
      </c>
      <c r="Y35" s="272">
        <f t="shared" si="9"/>
        <v>9.417040358744394E-2</v>
      </c>
      <c r="Z35" s="272">
        <f t="shared" si="2"/>
        <v>-4.4843049327354259E-3</v>
      </c>
      <c r="AA35" s="272">
        <f t="shared" si="10"/>
        <v>0.47428571428571431</v>
      </c>
      <c r="AB35" s="272">
        <f t="shared" si="11"/>
        <v>0.22857142857142856</v>
      </c>
      <c r="AC35" s="272">
        <f t="shared" si="3"/>
        <v>-0.30285714285714288</v>
      </c>
    </row>
    <row r="36" spans="1:29" ht="12.45" customHeight="1">
      <c r="A36" s="130" t="s">
        <v>209</v>
      </c>
      <c r="B36" s="105">
        <v>488000</v>
      </c>
      <c r="C36" s="9">
        <v>253000</v>
      </c>
      <c r="D36" s="9">
        <v>140000</v>
      </c>
      <c r="E36" s="9">
        <v>95000</v>
      </c>
      <c r="F36" s="9">
        <v>170000</v>
      </c>
      <c r="G36" s="9">
        <v>124000</v>
      </c>
      <c r="H36" s="9">
        <v>38000</v>
      </c>
      <c r="I36" s="9">
        <v>8000</v>
      </c>
      <c r="J36" s="9">
        <v>92000</v>
      </c>
      <c r="K36" s="9">
        <v>50000</v>
      </c>
      <c r="L36" s="9">
        <v>31000</v>
      </c>
      <c r="M36" s="13" t="s">
        <v>191</v>
      </c>
      <c r="N36" s="9">
        <v>226000</v>
      </c>
      <c r="O36" s="9">
        <v>79000</v>
      </c>
      <c r="P36" s="9">
        <v>70000</v>
      </c>
      <c r="Q36" s="265">
        <v>77000</v>
      </c>
      <c r="R36" s="272">
        <f t="shared" si="4"/>
        <v>0.51844262295081966</v>
      </c>
      <c r="S36" s="272">
        <f t="shared" si="5"/>
        <v>0.28688524590163933</v>
      </c>
      <c r="T36" s="272">
        <f t="shared" si="0"/>
        <v>-0.19467213114754098</v>
      </c>
      <c r="U36" s="272">
        <f t="shared" si="6"/>
        <v>0.72941176470588232</v>
      </c>
      <c r="V36" s="272">
        <f t="shared" si="7"/>
        <v>0.22352941176470589</v>
      </c>
      <c r="W36" s="272">
        <f t="shared" si="1"/>
        <v>-4.7058823529411764E-2</v>
      </c>
      <c r="X36" s="272">
        <f t="shared" si="8"/>
        <v>0.54347826086956519</v>
      </c>
      <c r="Y36" s="272">
        <f t="shared" si="9"/>
        <v>0.33695652173913043</v>
      </c>
      <c r="Z36" s="272" t="e">
        <f t="shared" si="2"/>
        <v>#VALUE!</v>
      </c>
      <c r="AA36" s="272">
        <f t="shared" si="10"/>
        <v>0.34955752212389379</v>
      </c>
      <c r="AB36" s="272">
        <f t="shared" si="11"/>
        <v>0.30973451327433627</v>
      </c>
      <c r="AC36" s="272">
        <f t="shared" si="3"/>
        <v>-0.34070796460176989</v>
      </c>
    </row>
    <row r="37" spans="1:29" ht="12.45" customHeight="1">
      <c r="A37" s="130" t="s">
        <v>210</v>
      </c>
      <c r="B37" s="105">
        <v>541000</v>
      </c>
      <c r="C37" s="9">
        <v>343000</v>
      </c>
      <c r="D37" s="9">
        <v>118000</v>
      </c>
      <c r="E37" s="9">
        <v>80000</v>
      </c>
      <c r="F37" s="9">
        <v>48000</v>
      </c>
      <c r="G37" s="9">
        <v>35000</v>
      </c>
      <c r="H37" s="9">
        <v>9000</v>
      </c>
      <c r="I37" s="9">
        <v>4000</v>
      </c>
      <c r="J37" s="9">
        <v>221000</v>
      </c>
      <c r="K37" s="9">
        <v>206000</v>
      </c>
      <c r="L37" s="9">
        <v>13000</v>
      </c>
      <c r="M37" s="13" t="s">
        <v>220</v>
      </c>
      <c r="N37" s="9">
        <v>271000</v>
      </c>
      <c r="O37" s="9">
        <v>102000</v>
      </c>
      <c r="P37" s="9">
        <v>96000</v>
      </c>
      <c r="Q37" s="265">
        <v>74000</v>
      </c>
      <c r="R37" s="272">
        <f t="shared" si="4"/>
        <v>0.63401109057301297</v>
      </c>
      <c r="S37" s="272">
        <f t="shared" si="5"/>
        <v>0.21811460258780038</v>
      </c>
      <c r="T37" s="272">
        <f t="shared" ref="T37:T68" si="12">(E37/B37)*(-1)</f>
        <v>-0.1478743068391867</v>
      </c>
      <c r="U37" s="272">
        <f t="shared" si="6"/>
        <v>0.72916666666666663</v>
      </c>
      <c r="V37" s="272">
        <f t="shared" si="7"/>
        <v>0.1875</v>
      </c>
      <c r="W37" s="272">
        <f t="shared" ref="W37:W68" si="13">(I37/F37)*(-1)</f>
        <v>-8.3333333333333329E-2</v>
      </c>
      <c r="X37" s="272">
        <f t="shared" si="8"/>
        <v>0.9321266968325792</v>
      </c>
      <c r="Y37" s="272">
        <f t="shared" si="9"/>
        <v>5.8823529411764705E-2</v>
      </c>
      <c r="Z37" s="272" t="e">
        <f t="shared" ref="Z37:Z68" si="14">(M37/J37)*(-1)</f>
        <v>#VALUE!</v>
      </c>
      <c r="AA37" s="272">
        <f t="shared" si="10"/>
        <v>0.37638376383763839</v>
      </c>
      <c r="AB37" s="272">
        <f t="shared" si="11"/>
        <v>0.35424354243542433</v>
      </c>
      <c r="AC37" s="272">
        <f t="shared" ref="AC37:AC68" si="15">(Q37/N37)*(-1)</f>
        <v>-0.27306273062730629</v>
      </c>
    </row>
    <row r="38" spans="1:29" ht="12.45" customHeight="1">
      <c r="A38" s="129" t="s">
        <v>211</v>
      </c>
      <c r="B38" s="105">
        <v>27535000</v>
      </c>
      <c r="C38" s="9">
        <v>13852000</v>
      </c>
      <c r="D38" s="9">
        <v>7763000</v>
      </c>
      <c r="E38" s="9">
        <v>5921000</v>
      </c>
      <c r="F38" s="9">
        <v>1396000</v>
      </c>
      <c r="G38" s="9">
        <v>527000</v>
      </c>
      <c r="H38" s="9">
        <v>489000</v>
      </c>
      <c r="I38" s="9">
        <v>380000</v>
      </c>
      <c r="J38" s="9">
        <v>1597000</v>
      </c>
      <c r="K38" s="9">
        <v>745000</v>
      </c>
      <c r="L38" s="9">
        <v>393000</v>
      </c>
      <c r="M38" s="9">
        <v>458000</v>
      </c>
      <c r="N38" s="9">
        <v>24541000</v>
      </c>
      <c r="O38" s="9">
        <v>12579000</v>
      </c>
      <c r="P38" s="9">
        <v>6880000</v>
      </c>
      <c r="Q38" s="265">
        <v>5082000</v>
      </c>
      <c r="R38" s="272">
        <f t="shared" si="4"/>
        <v>0.50306882149990917</v>
      </c>
      <c r="S38" s="272">
        <f t="shared" si="5"/>
        <v>0.28193208643544582</v>
      </c>
      <c r="T38" s="272">
        <f t="shared" si="12"/>
        <v>-0.21503540947884511</v>
      </c>
      <c r="U38" s="272">
        <f t="shared" si="6"/>
        <v>0.37750716332378226</v>
      </c>
      <c r="V38" s="272">
        <f t="shared" si="7"/>
        <v>0.35028653295128942</v>
      </c>
      <c r="W38" s="272">
        <f t="shared" si="13"/>
        <v>-0.27220630372492838</v>
      </c>
      <c r="X38" s="272">
        <f t="shared" si="8"/>
        <v>0.46649968691296179</v>
      </c>
      <c r="Y38" s="272">
        <f t="shared" si="9"/>
        <v>0.24608641202254228</v>
      </c>
      <c r="Z38" s="272">
        <f t="shared" si="14"/>
        <v>-0.28678772698810268</v>
      </c>
      <c r="AA38" s="272">
        <f t="shared" si="10"/>
        <v>0.51257079988590526</v>
      </c>
      <c r="AB38" s="272">
        <f t="shared" si="11"/>
        <v>0.28034717411678417</v>
      </c>
      <c r="AC38" s="272">
        <f t="shared" si="15"/>
        <v>-0.20708202599731063</v>
      </c>
    </row>
    <row r="39" spans="1:29" ht="12.45" customHeight="1">
      <c r="A39" s="130" t="s">
        <v>212</v>
      </c>
      <c r="B39" s="105">
        <v>9480000</v>
      </c>
      <c r="C39" s="9">
        <v>4384000</v>
      </c>
      <c r="D39" s="9">
        <v>3484000</v>
      </c>
      <c r="E39" s="9">
        <v>1612000</v>
      </c>
      <c r="F39" s="9">
        <v>647000</v>
      </c>
      <c r="G39" s="9">
        <v>253000</v>
      </c>
      <c r="H39" s="9">
        <v>298000</v>
      </c>
      <c r="I39" s="9">
        <v>96000</v>
      </c>
      <c r="J39" s="9">
        <v>527000</v>
      </c>
      <c r="K39" s="9">
        <v>200000</v>
      </c>
      <c r="L39" s="9">
        <v>181000</v>
      </c>
      <c r="M39" s="9">
        <v>146000</v>
      </c>
      <c r="N39" s="9">
        <v>8305000</v>
      </c>
      <c r="O39" s="9">
        <v>3931000</v>
      </c>
      <c r="P39" s="9">
        <v>3005000</v>
      </c>
      <c r="Q39" s="265">
        <v>1369000</v>
      </c>
      <c r="R39" s="272">
        <f t="shared" si="4"/>
        <v>0.46244725738396625</v>
      </c>
      <c r="S39" s="272">
        <f t="shared" si="5"/>
        <v>0.36751054852320675</v>
      </c>
      <c r="T39" s="272">
        <f t="shared" si="12"/>
        <v>-0.170042194092827</v>
      </c>
      <c r="U39" s="272">
        <f t="shared" si="6"/>
        <v>0.39103554868624418</v>
      </c>
      <c r="V39" s="272">
        <f t="shared" si="7"/>
        <v>0.46058732612055642</v>
      </c>
      <c r="W39" s="272">
        <f t="shared" si="13"/>
        <v>-0.14837712519319937</v>
      </c>
      <c r="X39" s="272">
        <f t="shared" si="8"/>
        <v>0.37950664136622392</v>
      </c>
      <c r="Y39" s="272">
        <f t="shared" si="9"/>
        <v>0.34345351043643263</v>
      </c>
      <c r="Z39" s="272">
        <f t="shared" si="14"/>
        <v>-0.27703984819734345</v>
      </c>
      <c r="AA39" s="272">
        <f t="shared" si="10"/>
        <v>0.47332931968693559</v>
      </c>
      <c r="AB39" s="272">
        <f t="shared" si="11"/>
        <v>0.36183022275737509</v>
      </c>
      <c r="AC39" s="272">
        <f t="shared" si="15"/>
        <v>-0.16484045755568935</v>
      </c>
    </row>
    <row r="40" spans="1:29">
      <c r="A40" s="130" t="s">
        <v>213</v>
      </c>
      <c r="B40" s="107">
        <v>5019000</v>
      </c>
      <c r="C40" s="7">
        <v>3536000</v>
      </c>
      <c r="D40" s="7">
        <v>715000</v>
      </c>
      <c r="E40" s="7">
        <v>769000</v>
      </c>
      <c r="F40" s="7">
        <v>94000</v>
      </c>
      <c r="G40" s="7">
        <v>55000</v>
      </c>
      <c r="H40" s="7">
        <v>20000</v>
      </c>
      <c r="I40" s="7">
        <v>19000</v>
      </c>
      <c r="J40" s="7">
        <v>441000</v>
      </c>
      <c r="K40" s="7">
        <v>315000</v>
      </c>
      <c r="L40" s="7">
        <v>75000</v>
      </c>
      <c r="M40" s="7">
        <v>52000</v>
      </c>
      <c r="N40" s="7">
        <v>4484000</v>
      </c>
      <c r="O40" s="7">
        <v>3167000</v>
      </c>
      <c r="P40" s="7">
        <v>620000</v>
      </c>
      <c r="Q40" s="268">
        <v>698000</v>
      </c>
      <c r="R40" s="272">
        <f>C40/B40</f>
        <v>0.70452281330942423</v>
      </c>
      <c r="S40" s="272">
        <f>D40/B40</f>
        <v>0.14245865710300856</v>
      </c>
      <c r="T40" s="272">
        <f t="shared" si="12"/>
        <v>-0.15321777246463439</v>
      </c>
      <c r="U40" s="272">
        <f>G40/F40</f>
        <v>0.58510638297872342</v>
      </c>
      <c r="V40" s="272">
        <f>I40/G40</f>
        <v>0.34545454545454546</v>
      </c>
      <c r="W40" s="272">
        <f t="shared" si="13"/>
        <v>-0.20212765957446807</v>
      </c>
      <c r="X40" s="272">
        <f>K40/J40</f>
        <v>0.7142857142857143</v>
      </c>
      <c r="Y40" s="272">
        <f>L40/J40</f>
        <v>0.17006802721088435</v>
      </c>
      <c r="Z40" s="272">
        <f t="shared" si="14"/>
        <v>-0.11791383219954649</v>
      </c>
      <c r="AA40" s="272">
        <f>O40/N40</f>
        <v>0.70628902765388046</v>
      </c>
      <c r="AB40" s="272">
        <f>P40/N40</f>
        <v>0.13826940231935772</v>
      </c>
      <c r="AC40" s="272">
        <f t="shared" si="15"/>
        <v>-0.15566458519179305</v>
      </c>
    </row>
    <row r="41" spans="1:29">
      <c r="A41" s="130" t="s">
        <v>214</v>
      </c>
      <c r="B41" s="105">
        <v>1466000</v>
      </c>
      <c r="C41" s="9">
        <v>903000</v>
      </c>
      <c r="D41" s="9">
        <v>232000</v>
      </c>
      <c r="E41" s="9">
        <v>331000</v>
      </c>
      <c r="F41" s="9">
        <v>77000</v>
      </c>
      <c r="G41" s="9">
        <v>34000</v>
      </c>
      <c r="H41" s="9">
        <v>7000</v>
      </c>
      <c r="I41" s="9">
        <v>36000</v>
      </c>
      <c r="J41" s="9">
        <v>65000</v>
      </c>
      <c r="K41" s="9">
        <v>25000</v>
      </c>
      <c r="L41" s="9">
        <v>17000</v>
      </c>
      <c r="M41" s="9">
        <v>23000</v>
      </c>
      <c r="N41" s="9">
        <v>1324000</v>
      </c>
      <c r="O41" s="9">
        <v>845000</v>
      </c>
      <c r="P41" s="9">
        <v>208000</v>
      </c>
      <c r="Q41" s="265">
        <v>272000</v>
      </c>
      <c r="R41" s="272">
        <f t="shared" ref="R41:R74" si="16">C41/B41</f>
        <v>0.6159618008185539</v>
      </c>
      <c r="S41" s="272">
        <f t="shared" ref="S41:S74" si="17">D41/B41</f>
        <v>0.15825375170532061</v>
      </c>
      <c r="T41" s="272">
        <f t="shared" si="12"/>
        <v>-0.2257844474761255</v>
      </c>
      <c r="U41" s="272">
        <f t="shared" ref="U41:U74" si="18">G41/F41</f>
        <v>0.44155844155844154</v>
      </c>
      <c r="V41" s="272">
        <f t="shared" ref="V41:V74" si="19">I41/G41</f>
        <v>1.0588235294117647</v>
      </c>
      <c r="W41" s="272">
        <f t="shared" si="13"/>
        <v>-0.46753246753246752</v>
      </c>
      <c r="X41" s="272">
        <f t="shared" ref="X41:X74" si="20">K41/J41</f>
        <v>0.38461538461538464</v>
      </c>
      <c r="Y41" s="272">
        <f t="shared" ref="Y41:Y74" si="21">L41/J41</f>
        <v>0.26153846153846155</v>
      </c>
      <c r="Z41" s="272">
        <f t="shared" si="14"/>
        <v>-0.35384615384615387</v>
      </c>
      <c r="AA41" s="272">
        <f t="shared" ref="AA41:AA74" si="22">O41/N41</f>
        <v>0.63821752265861031</v>
      </c>
      <c r="AB41" s="272">
        <f t="shared" ref="AB41:AB74" si="23">P41/N41</f>
        <v>0.15709969788519637</v>
      </c>
      <c r="AC41" s="272">
        <f t="shared" si="15"/>
        <v>-0.20543806646525681</v>
      </c>
    </row>
    <row r="42" spans="1:29">
      <c r="A42" s="130" t="s">
        <v>215</v>
      </c>
      <c r="B42" s="105">
        <v>1293000</v>
      </c>
      <c r="C42" s="9">
        <v>449000</v>
      </c>
      <c r="D42" s="9">
        <v>598000</v>
      </c>
      <c r="E42" s="9">
        <v>246000</v>
      </c>
      <c r="F42" s="9">
        <v>61000</v>
      </c>
      <c r="G42" s="9">
        <v>17000</v>
      </c>
      <c r="H42" s="9">
        <v>30000</v>
      </c>
      <c r="I42" s="9">
        <v>14000</v>
      </c>
      <c r="J42" s="9">
        <v>62000</v>
      </c>
      <c r="K42" s="9">
        <v>7000</v>
      </c>
      <c r="L42" s="13" t="s">
        <v>191</v>
      </c>
      <c r="M42" s="9">
        <v>44000</v>
      </c>
      <c r="N42" s="9">
        <v>1169000</v>
      </c>
      <c r="O42" s="9">
        <v>425000</v>
      </c>
      <c r="P42" s="9">
        <v>557000</v>
      </c>
      <c r="Q42" s="265">
        <v>187000</v>
      </c>
      <c r="R42" s="272">
        <f t="shared" si="16"/>
        <v>0.34725444702242847</v>
      </c>
      <c r="S42" s="272">
        <f t="shared" si="17"/>
        <v>0.46249033255993816</v>
      </c>
      <c r="T42" s="272">
        <f t="shared" si="12"/>
        <v>-0.1902552204176334</v>
      </c>
      <c r="U42" s="272">
        <f t="shared" si="18"/>
        <v>0.27868852459016391</v>
      </c>
      <c r="V42" s="272">
        <f t="shared" si="19"/>
        <v>0.82352941176470584</v>
      </c>
      <c r="W42" s="272">
        <f t="shared" si="13"/>
        <v>-0.22950819672131148</v>
      </c>
      <c r="X42" s="272">
        <f t="shared" si="20"/>
        <v>0.11290322580645161</v>
      </c>
      <c r="Y42" s="272" t="e">
        <f t="shared" si="21"/>
        <v>#VALUE!</v>
      </c>
      <c r="Z42" s="272">
        <f t="shared" si="14"/>
        <v>-0.70967741935483875</v>
      </c>
      <c r="AA42" s="272">
        <f t="shared" si="22"/>
        <v>0.36355859709153121</v>
      </c>
      <c r="AB42" s="272">
        <f t="shared" si="23"/>
        <v>0.47647562018819506</v>
      </c>
      <c r="AC42" s="272">
        <f t="shared" si="15"/>
        <v>-0.15996578272027373</v>
      </c>
    </row>
    <row r="43" spans="1:29">
      <c r="A43" s="130" t="s">
        <v>216</v>
      </c>
      <c r="B43" s="105">
        <v>4526000</v>
      </c>
      <c r="C43" s="9">
        <v>1559000</v>
      </c>
      <c r="D43" s="9">
        <v>1182000</v>
      </c>
      <c r="E43" s="9">
        <v>1785000</v>
      </c>
      <c r="F43" s="9">
        <v>273000</v>
      </c>
      <c r="G43" s="9">
        <v>58000</v>
      </c>
      <c r="H43" s="9">
        <v>68000</v>
      </c>
      <c r="I43" s="9">
        <v>147000</v>
      </c>
      <c r="J43" s="9">
        <v>299000</v>
      </c>
      <c r="K43" s="9">
        <v>123000</v>
      </c>
      <c r="L43" s="9">
        <v>44000</v>
      </c>
      <c r="M43" s="9">
        <v>132000</v>
      </c>
      <c r="N43" s="9">
        <v>3954000</v>
      </c>
      <c r="O43" s="9">
        <v>1378000</v>
      </c>
      <c r="P43" s="9">
        <v>1070000</v>
      </c>
      <c r="Q43" s="265">
        <v>1506000</v>
      </c>
      <c r="R43" s="272">
        <f t="shared" si="16"/>
        <v>0.34445426425099424</v>
      </c>
      <c r="S43" s="272">
        <f t="shared" si="17"/>
        <v>0.26115775519222273</v>
      </c>
      <c r="T43" s="272">
        <f t="shared" si="12"/>
        <v>-0.39438798055678304</v>
      </c>
      <c r="U43" s="272">
        <f t="shared" si="18"/>
        <v>0.21245421245421245</v>
      </c>
      <c r="V43" s="272">
        <f t="shared" si="19"/>
        <v>2.5344827586206895</v>
      </c>
      <c r="W43" s="272">
        <f t="shared" si="13"/>
        <v>-0.53846153846153844</v>
      </c>
      <c r="X43" s="272">
        <f t="shared" si="20"/>
        <v>0.41137123745819398</v>
      </c>
      <c r="Y43" s="272">
        <f t="shared" si="21"/>
        <v>0.14715719063545152</v>
      </c>
      <c r="Z43" s="272">
        <f t="shared" si="14"/>
        <v>-0.4414715719063545</v>
      </c>
      <c r="AA43" s="272">
        <f t="shared" si="22"/>
        <v>0.34850784016186143</v>
      </c>
      <c r="AB43" s="272">
        <f t="shared" si="23"/>
        <v>0.27061203844208398</v>
      </c>
      <c r="AC43" s="272">
        <f t="shared" si="15"/>
        <v>-0.38088012139605465</v>
      </c>
    </row>
    <row r="44" spans="1:29">
      <c r="A44" s="130" t="s">
        <v>217</v>
      </c>
      <c r="B44" s="105">
        <v>5752000</v>
      </c>
      <c r="C44" s="9">
        <v>3020000</v>
      </c>
      <c r="D44" s="9">
        <v>1553000</v>
      </c>
      <c r="E44" s="9">
        <v>1179000</v>
      </c>
      <c r="F44" s="9">
        <v>244000</v>
      </c>
      <c r="G44" s="9">
        <v>110000</v>
      </c>
      <c r="H44" s="9">
        <v>66000</v>
      </c>
      <c r="I44" s="9">
        <v>67000</v>
      </c>
      <c r="J44" s="9">
        <v>203000</v>
      </c>
      <c r="K44" s="9">
        <v>76000</v>
      </c>
      <c r="L44" s="9">
        <v>66000</v>
      </c>
      <c r="M44" s="9">
        <v>61000</v>
      </c>
      <c r="N44" s="9">
        <v>5305000</v>
      </c>
      <c r="O44" s="9">
        <v>2834000</v>
      </c>
      <c r="P44" s="9">
        <v>1421000</v>
      </c>
      <c r="Q44" s="265">
        <v>1051000</v>
      </c>
      <c r="R44" s="272">
        <f t="shared" si="16"/>
        <v>0.52503477051460357</v>
      </c>
      <c r="S44" s="272">
        <f t="shared" si="17"/>
        <v>0.26999304589707929</v>
      </c>
      <c r="T44" s="272">
        <f t="shared" si="12"/>
        <v>-0.20497218358831712</v>
      </c>
      <c r="U44" s="272">
        <f t="shared" si="18"/>
        <v>0.45081967213114754</v>
      </c>
      <c r="V44" s="272">
        <f t="shared" si="19"/>
        <v>0.60909090909090913</v>
      </c>
      <c r="W44" s="272">
        <f t="shared" si="13"/>
        <v>-0.27459016393442626</v>
      </c>
      <c r="X44" s="272">
        <f t="shared" si="20"/>
        <v>0.37438423645320196</v>
      </c>
      <c r="Y44" s="272">
        <f t="shared" si="21"/>
        <v>0.3251231527093596</v>
      </c>
      <c r="Z44" s="272">
        <f t="shared" si="14"/>
        <v>-0.30049261083743845</v>
      </c>
      <c r="AA44" s="272">
        <f t="shared" si="22"/>
        <v>0.53421300659754944</v>
      </c>
      <c r="AB44" s="272">
        <f t="shared" si="23"/>
        <v>0.26786050895381713</v>
      </c>
      <c r="AC44" s="272">
        <f t="shared" si="15"/>
        <v>-0.19811498586239396</v>
      </c>
    </row>
    <row r="45" spans="1:29">
      <c r="A45" s="125" t="s">
        <v>218</v>
      </c>
      <c r="B45" s="124">
        <v>31688000</v>
      </c>
      <c r="C45" s="119">
        <v>13835000</v>
      </c>
      <c r="D45" s="119">
        <v>9599000</v>
      </c>
      <c r="E45" s="119">
        <v>8254000</v>
      </c>
      <c r="F45" s="119">
        <v>4438000</v>
      </c>
      <c r="G45" s="119">
        <v>2602000</v>
      </c>
      <c r="H45" s="119">
        <v>1236000</v>
      </c>
      <c r="I45" s="119">
        <v>600000</v>
      </c>
      <c r="J45" s="119">
        <v>5031000</v>
      </c>
      <c r="K45" s="119">
        <v>3381000</v>
      </c>
      <c r="L45" s="119">
        <v>987000</v>
      </c>
      <c r="M45" s="119">
        <v>663000</v>
      </c>
      <c r="N45" s="119">
        <v>22219000</v>
      </c>
      <c r="O45" s="119">
        <v>7852000</v>
      </c>
      <c r="P45" s="119">
        <v>7376000</v>
      </c>
      <c r="Q45" s="267">
        <v>6991000</v>
      </c>
      <c r="R45" s="272">
        <f t="shared" si="16"/>
        <v>0.43660060590759908</v>
      </c>
      <c r="S45" s="272">
        <f t="shared" si="17"/>
        <v>0.30292224185811661</v>
      </c>
      <c r="T45" s="272">
        <f t="shared" si="12"/>
        <v>-0.26047715223428425</v>
      </c>
      <c r="U45" s="272">
        <f t="shared" si="18"/>
        <v>0.5863001351960343</v>
      </c>
      <c r="V45" s="272">
        <f t="shared" si="19"/>
        <v>0.23059185242121444</v>
      </c>
      <c r="W45" s="272">
        <f t="shared" si="13"/>
        <v>-0.13519603424966201</v>
      </c>
      <c r="X45" s="272">
        <f t="shared" si="20"/>
        <v>0.67203339296362552</v>
      </c>
      <c r="Y45" s="272">
        <f t="shared" si="21"/>
        <v>0.19618366129994036</v>
      </c>
      <c r="Z45" s="272">
        <f t="shared" si="14"/>
        <v>-0.13178294573643412</v>
      </c>
      <c r="AA45" s="272">
        <f t="shared" si="22"/>
        <v>0.35339124173005088</v>
      </c>
      <c r="AB45" s="272">
        <f t="shared" si="23"/>
        <v>0.33196813537963005</v>
      </c>
      <c r="AC45" s="272">
        <f t="shared" si="15"/>
        <v>-0.31464062289031908</v>
      </c>
    </row>
    <row r="46" spans="1:29">
      <c r="A46" s="120" t="s">
        <v>178</v>
      </c>
      <c r="B46" s="105">
        <v>11377000</v>
      </c>
      <c r="C46" s="9">
        <v>4641000</v>
      </c>
      <c r="D46" s="9">
        <v>3586000</v>
      </c>
      <c r="E46" s="9">
        <v>3150000</v>
      </c>
      <c r="F46" s="9">
        <v>3499000</v>
      </c>
      <c r="G46" s="9">
        <v>2266000</v>
      </c>
      <c r="H46" s="9">
        <v>927000</v>
      </c>
      <c r="I46" s="9">
        <v>305000</v>
      </c>
      <c r="J46" s="9">
        <v>1692000</v>
      </c>
      <c r="K46" s="9">
        <v>902000</v>
      </c>
      <c r="L46" s="9">
        <v>521000</v>
      </c>
      <c r="M46" s="9">
        <v>269000</v>
      </c>
      <c r="N46" s="9">
        <v>6187000</v>
      </c>
      <c r="O46" s="9">
        <v>1473000</v>
      </c>
      <c r="P46" s="9">
        <v>2137000</v>
      </c>
      <c r="Q46" s="265">
        <v>2576000</v>
      </c>
      <c r="R46" s="272">
        <f t="shared" si="16"/>
        <v>0.40792827634701589</v>
      </c>
      <c r="S46" s="272">
        <f t="shared" si="17"/>
        <v>0.31519732794233979</v>
      </c>
      <c r="T46" s="272">
        <f t="shared" si="12"/>
        <v>-0.27687439571064426</v>
      </c>
      <c r="U46" s="272">
        <f t="shared" si="18"/>
        <v>0.64761360388682476</v>
      </c>
      <c r="V46" s="272">
        <f t="shared" si="19"/>
        <v>0.13459841129744043</v>
      </c>
      <c r="W46" s="272">
        <f t="shared" si="13"/>
        <v>-8.7167762217776501E-2</v>
      </c>
      <c r="X46" s="272">
        <f t="shared" si="20"/>
        <v>0.53309692671394804</v>
      </c>
      <c r="Y46" s="272">
        <f t="shared" si="21"/>
        <v>0.30791962174940896</v>
      </c>
      <c r="Z46" s="272">
        <f t="shared" si="14"/>
        <v>-0.15898345153664303</v>
      </c>
      <c r="AA46" s="272">
        <f t="shared" si="22"/>
        <v>0.23807984483594635</v>
      </c>
      <c r="AB46" s="272">
        <f t="shared" si="23"/>
        <v>0.34540164861807016</v>
      </c>
      <c r="AC46" s="272">
        <f t="shared" si="15"/>
        <v>-0.41635687732342008</v>
      </c>
    </row>
    <row r="47" spans="1:29">
      <c r="A47" s="121" t="s">
        <v>179</v>
      </c>
      <c r="B47" s="105">
        <v>1773000</v>
      </c>
      <c r="C47" s="9">
        <v>635000</v>
      </c>
      <c r="D47" s="9">
        <v>542000</v>
      </c>
      <c r="E47" s="9">
        <v>595000</v>
      </c>
      <c r="F47" s="9">
        <v>371000</v>
      </c>
      <c r="G47" s="9">
        <v>203000</v>
      </c>
      <c r="H47" s="9">
        <v>112000</v>
      </c>
      <c r="I47" s="9">
        <v>56000</v>
      </c>
      <c r="J47" s="9">
        <v>489000</v>
      </c>
      <c r="K47" s="9">
        <v>251000</v>
      </c>
      <c r="L47" s="9">
        <v>165000</v>
      </c>
      <c r="M47" s="9">
        <v>73000</v>
      </c>
      <c r="N47" s="9">
        <v>913000</v>
      </c>
      <c r="O47" s="9">
        <v>181000</v>
      </c>
      <c r="P47" s="9">
        <v>265000</v>
      </c>
      <c r="Q47" s="265">
        <v>466000</v>
      </c>
      <c r="R47" s="272">
        <f t="shared" si="16"/>
        <v>0.35815002820078962</v>
      </c>
      <c r="S47" s="272">
        <f t="shared" si="17"/>
        <v>0.30569655950366609</v>
      </c>
      <c r="T47" s="272">
        <f t="shared" si="12"/>
        <v>-0.3355893965031021</v>
      </c>
      <c r="U47" s="272">
        <f t="shared" si="18"/>
        <v>0.54716981132075471</v>
      </c>
      <c r="V47" s="272">
        <f t="shared" si="19"/>
        <v>0.27586206896551724</v>
      </c>
      <c r="W47" s="272">
        <f t="shared" si="13"/>
        <v>-0.15094339622641509</v>
      </c>
      <c r="X47" s="272">
        <f t="shared" si="20"/>
        <v>0.51329243353783227</v>
      </c>
      <c r="Y47" s="272">
        <f t="shared" si="21"/>
        <v>0.33742331288343558</v>
      </c>
      <c r="Z47" s="272">
        <f t="shared" si="14"/>
        <v>-0.1492842535787321</v>
      </c>
      <c r="AA47" s="272">
        <f t="shared" si="22"/>
        <v>0.1982475355969332</v>
      </c>
      <c r="AB47" s="272">
        <f t="shared" si="23"/>
        <v>0.29025191675794088</v>
      </c>
      <c r="AC47" s="272">
        <f t="shared" si="15"/>
        <v>-0.51040525739320919</v>
      </c>
    </row>
    <row r="48" spans="1:29">
      <c r="A48" s="122" t="s">
        <v>180</v>
      </c>
      <c r="B48" s="105">
        <v>239000</v>
      </c>
      <c r="C48" s="9">
        <v>92000</v>
      </c>
      <c r="D48" s="9">
        <v>69000</v>
      </c>
      <c r="E48" s="9">
        <v>78000</v>
      </c>
      <c r="F48" s="9">
        <v>39000</v>
      </c>
      <c r="G48" s="9">
        <v>21000</v>
      </c>
      <c r="H48" s="9">
        <v>14000</v>
      </c>
      <c r="I48" s="13" t="s">
        <v>191</v>
      </c>
      <c r="J48" s="9">
        <v>33000</v>
      </c>
      <c r="K48" s="9">
        <v>15000</v>
      </c>
      <c r="L48" s="13" t="s">
        <v>191</v>
      </c>
      <c r="M48" s="9">
        <v>10000</v>
      </c>
      <c r="N48" s="9">
        <v>167000</v>
      </c>
      <c r="O48" s="9">
        <v>57000</v>
      </c>
      <c r="P48" s="9">
        <v>47000</v>
      </c>
      <c r="Q48" s="265">
        <v>64000</v>
      </c>
      <c r="R48" s="272">
        <f t="shared" si="16"/>
        <v>0.38493723849372385</v>
      </c>
      <c r="S48" s="272">
        <f t="shared" si="17"/>
        <v>0.28870292887029286</v>
      </c>
      <c r="T48" s="272">
        <f t="shared" si="12"/>
        <v>-0.32635983263598328</v>
      </c>
      <c r="U48" s="272">
        <f t="shared" si="18"/>
        <v>0.53846153846153844</v>
      </c>
      <c r="V48" s="272" t="e">
        <f t="shared" si="19"/>
        <v>#VALUE!</v>
      </c>
      <c r="W48" s="272" t="e">
        <f t="shared" si="13"/>
        <v>#VALUE!</v>
      </c>
      <c r="X48" s="272">
        <f t="shared" si="20"/>
        <v>0.45454545454545453</v>
      </c>
      <c r="Y48" s="272" t="e">
        <f t="shared" si="21"/>
        <v>#VALUE!</v>
      </c>
      <c r="Z48" s="272">
        <f t="shared" si="14"/>
        <v>-0.30303030303030304</v>
      </c>
      <c r="AA48" s="272">
        <f t="shared" si="22"/>
        <v>0.3413173652694611</v>
      </c>
      <c r="AB48" s="272">
        <f t="shared" si="23"/>
        <v>0.28143712574850299</v>
      </c>
      <c r="AC48" s="272">
        <f t="shared" si="15"/>
        <v>-0.38323353293413176</v>
      </c>
    </row>
    <row r="49" spans="1:29">
      <c r="A49" s="122" t="s">
        <v>181</v>
      </c>
      <c r="B49" s="105">
        <v>1301000</v>
      </c>
      <c r="C49" s="9">
        <v>462000</v>
      </c>
      <c r="D49" s="9">
        <v>391000</v>
      </c>
      <c r="E49" s="9">
        <v>448000</v>
      </c>
      <c r="F49" s="9">
        <v>281000</v>
      </c>
      <c r="G49" s="9">
        <v>154000</v>
      </c>
      <c r="H49" s="9">
        <v>85000</v>
      </c>
      <c r="I49" s="9">
        <v>43000</v>
      </c>
      <c r="J49" s="9">
        <v>433000</v>
      </c>
      <c r="K49" s="9">
        <v>223000</v>
      </c>
      <c r="L49" s="9">
        <v>149000</v>
      </c>
      <c r="M49" s="9">
        <v>62000</v>
      </c>
      <c r="N49" s="9">
        <v>587000</v>
      </c>
      <c r="O49" s="9">
        <v>86000</v>
      </c>
      <c r="P49" s="9">
        <v>157000</v>
      </c>
      <c r="Q49" s="265">
        <v>344000</v>
      </c>
      <c r="R49" s="272">
        <f t="shared" si="16"/>
        <v>0.35511145272867023</v>
      </c>
      <c r="S49" s="272">
        <f t="shared" si="17"/>
        <v>0.30053804765564951</v>
      </c>
      <c r="T49" s="272">
        <f t="shared" si="12"/>
        <v>-0.34435049961568026</v>
      </c>
      <c r="U49" s="272">
        <f t="shared" si="18"/>
        <v>0.54804270462633453</v>
      </c>
      <c r="V49" s="272">
        <f t="shared" si="19"/>
        <v>0.2792207792207792</v>
      </c>
      <c r="W49" s="272">
        <f t="shared" si="13"/>
        <v>-0.15302491103202848</v>
      </c>
      <c r="X49" s="272">
        <f t="shared" si="20"/>
        <v>0.51501154734411081</v>
      </c>
      <c r="Y49" s="272">
        <f t="shared" si="21"/>
        <v>0.34411085450346418</v>
      </c>
      <c r="Z49" s="272">
        <f t="shared" si="14"/>
        <v>-0.14318706697459585</v>
      </c>
      <c r="AA49" s="272">
        <f t="shared" si="22"/>
        <v>0.1465076660988075</v>
      </c>
      <c r="AB49" s="272">
        <f t="shared" si="23"/>
        <v>0.26746166950596251</v>
      </c>
      <c r="AC49" s="272">
        <f t="shared" si="15"/>
        <v>-0.58603066439522999</v>
      </c>
    </row>
    <row r="50" spans="1:29">
      <c r="A50" s="122" t="s">
        <v>182</v>
      </c>
      <c r="B50" s="105">
        <v>232000</v>
      </c>
      <c r="C50" s="9">
        <v>80000</v>
      </c>
      <c r="D50" s="9">
        <v>82000</v>
      </c>
      <c r="E50" s="9">
        <v>69000</v>
      </c>
      <c r="F50" s="9">
        <v>51000</v>
      </c>
      <c r="G50" s="9">
        <v>29000</v>
      </c>
      <c r="H50" s="9">
        <v>13000</v>
      </c>
      <c r="I50" s="9">
        <v>9000</v>
      </c>
      <c r="J50" s="9">
        <v>23000</v>
      </c>
      <c r="K50" s="9">
        <v>13000</v>
      </c>
      <c r="L50" s="9">
        <v>8000</v>
      </c>
      <c r="M50" s="13" t="s">
        <v>191</v>
      </c>
      <c r="N50" s="9">
        <v>159000</v>
      </c>
      <c r="O50" s="9">
        <v>38000</v>
      </c>
      <c r="P50" s="9">
        <v>62000</v>
      </c>
      <c r="Q50" s="265">
        <v>58000</v>
      </c>
      <c r="R50" s="272">
        <f t="shared" si="16"/>
        <v>0.34482758620689657</v>
      </c>
      <c r="S50" s="272">
        <f t="shared" si="17"/>
        <v>0.35344827586206895</v>
      </c>
      <c r="T50" s="272">
        <f t="shared" si="12"/>
        <v>-0.29741379310344829</v>
      </c>
      <c r="U50" s="272">
        <f t="shared" si="18"/>
        <v>0.56862745098039214</v>
      </c>
      <c r="V50" s="272">
        <f t="shared" si="19"/>
        <v>0.31034482758620691</v>
      </c>
      <c r="W50" s="272">
        <f t="shared" si="13"/>
        <v>-0.17647058823529413</v>
      </c>
      <c r="X50" s="272">
        <f t="shared" si="20"/>
        <v>0.56521739130434778</v>
      </c>
      <c r="Y50" s="272">
        <f t="shared" si="21"/>
        <v>0.34782608695652173</v>
      </c>
      <c r="Z50" s="272" t="e">
        <f t="shared" si="14"/>
        <v>#VALUE!</v>
      </c>
      <c r="AA50" s="272">
        <f t="shared" si="22"/>
        <v>0.2389937106918239</v>
      </c>
      <c r="AB50" s="272">
        <f t="shared" si="23"/>
        <v>0.38993710691823902</v>
      </c>
      <c r="AC50" s="272">
        <f t="shared" si="15"/>
        <v>-0.36477987421383645</v>
      </c>
    </row>
    <row r="51" spans="1:29">
      <c r="A51" s="121" t="s">
        <v>183</v>
      </c>
      <c r="B51" s="105">
        <v>2133000</v>
      </c>
      <c r="C51" s="9">
        <v>1263000</v>
      </c>
      <c r="D51" s="9">
        <v>587000</v>
      </c>
      <c r="E51" s="9">
        <v>284000</v>
      </c>
      <c r="F51" s="9">
        <v>1137000</v>
      </c>
      <c r="G51" s="9">
        <v>843000</v>
      </c>
      <c r="H51" s="9">
        <v>270000</v>
      </c>
      <c r="I51" s="9">
        <v>24000</v>
      </c>
      <c r="J51" s="9">
        <v>321000</v>
      </c>
      <c r="K51" s="9">
        <v>216000</v>
      </c>
      <c r="L51" s="9">
        <v>84000</v>
      </c>
      <c r="M51" s="9">
        <v>21000</v>
      </c>
      <c r="N51" s="9">
        <v>675000</v>
      </c>
      <c r="O51" s="9">
        <v>204000</v>
      </c>
      <c r="P51" s="9">
        <v>233000</v>
      </c>
      <c r="Q51" s="265">
        <v>238000</v>
      </c>
      <c r="R51" s="272">
        <f t="shared" si="16"/>
        <v>0.59212376933895916</v>
      </c>
      <c r="S51" s="272">
        <f t="shared" si="17"/>
        <v>0.27519924988279421</v>
      </c>
      <c r="T51" s="272">
        <f t="shared" si="12"/>
        <v>-0.13314580403187998</v>
      </c>
      <c r="U51" s="272">
        <f t="shared" si="18"/>
        <v>0.74142480211081796</v>
      </c>
      <c r="V51" s="272">
        <f t="shared" si="19"/>
        <v>2.8469750889679714E-2</v>
      </c>
      <c r="W51" s="272">
        <f t="shared" si="13"/>
        <v>-2.1108179419525065E-2</v>
      </c>
      <c r="X51" s="272">
        <f t="shared" si="20"/>
        <v>0.67289719626168221</v>
      </c>
      <c r="Y51" s="272">
        <f t="shared" si="21"/>
        <v>0.26168224299065418</v>
      </c>
      <c r="Z51" s="272">
        <f t="shared" si="14"/>
        <v>-6.5420560747663545E-2</v>
      </c>
      <c r="AA51" s="272">
        <f t="shared" si="22"/>
        <v>0.30222222222222223</v>
      </c>
      <c r="AB51" s="272">
        <f t="shared" si="23"/>
        <v>0.34518518518518521</v>
      </c>
      <c r="AC51" s="272">
        <f t="shared" si="15"/>
        <v>-0.35259259259259257</v>
      </c>
    </row>
    <row r="52" spans="1:29">
      <c r="A52" s="122" t="s">
        <v>184</v>
      </c>
      <c r="B52" s="105">
        <v>1694000</v>
      </c>
      <c r="C52" s="9">
        <v>1081000</v>
      </c>
      <c r="D52" s="9">
        <v>420000</v>
      </c>
      <c r="E52" s="9">
        <v>193000</v>
      </c>
      <c r="F52" s="9">
        <v>1024000</v>
      </c>
      <c r="G52" s="9">
        <v>798000</v>
      </c>
      <c r="H52" s="9">
        <v>208000</v>
      </c>
      <c r="I52" s="9">
        <v>18000</v>
      </c>
      <c r="J52" s="9">
        <v>214000</v>
      </c>
      <c r="K52" s="9">
        <v>143000</v>
      </c>
      <c r="L52" s="9">
        <v>54000</v>
      </c>
      <c r="M52" s="9">
        <v>17000</v>
      </c>
      <c r="N52" s="9">
        <v>456000</v>
      </c>
      <c r="O52" s="9">
        <v>140000</v>
      </c>
      <c r="P52" s="9">
        <v>158000</v>
      </c>
      <c r="Q52" s="265">
        <v>157000</v>
      </c>
      <c r="R52" s="272">
        <f t="shared" si="16"/>
        <v>0.63813459268004724</v>
      </c>
      <c r="S52" s="272">
        <f t="shared" si="17"/>
        <v>0.24793388429752067</v>
      </c>
      <c r="T52" s="272">
        <f t="shared" si="12"/>
        <v>-0.11393152302243212</v>
      </c>
      <c r="U52" s="272">
        <f t="shared" si="18"/>
        <v>0.779296875</v>
      </c>
      <c r="V52" s="272">
        <f t="shared" si="19"/>
        <v>2.2556390977443608E-2</v>
      </c>
      <c r="W52" s="272">
        <f t="shared" si="13"/>
        <v>-1.7578125E-2</v>
      </c>
      <c r="X52" s="272">
        <f t="shared" si="20"/>
        <v>0.66822429906542058</v>
      </c>
      <c r="Y52" s="272">
        <f t="shared" si="21"/>
        <v>0.25233644859813081</v>
      </c>
      <c r="Z52" s="272">
        <f t="shared" si="14"/>
        <v>-7.9439252336448593E-2</v>
      </c>
      <c r="AA52" s="272">
        <f t="shared" si="22"/>
        <v>0.30701754385964913</v>
      </c>
      <c r="AB52" s="272">
        <f t="shared" si="23"/>
        <v>0.34649122807017546</v>
      </c>
      <c r="AC52" s="272">
        <f t="shared" si="15"/>
        <v>-0.3442982456140351</v>
      </c>
    </row>
    <row r="53" spans="1:29">
      <c r="A53" s="122" t="s">
        <v>185</v>
      </c>
      <c r="B53" s="105">
        <v>440000</v>
      </c>
      <c r="C53" s="9">
        <v>182000</v>
      </c>
      <c r="D53" s="9">
        <v>167000</v>
      </c>
      <c r="E53" s="9">
        <v>91000</v>
      </c>
      <c r="F53" s="9">
        <v>113000</v>
      </c>
      <c r="G53" s="9">
        <v>45000</v>
      </c>
      <c r="H53" s="9">
        <v>62000</v>
      </c>
      <c r="I53" s="9">
        <v>6000</v>
      </c>
      <c r="J53" s="9">
        <v>107000</v>
      </c>
      <c r="K53" s="9">
        <v>73000</v>
      </c>
      <c r="L53" s="9">
        <v>30000</v>
      </c>
      <c r="M53" s="13" t="s">
        <v>191</v>
      </c>
      <c r="N53" s="9">
        <v>219000</v>
      </c>
      <c r="O53" s="9">
        <v>63000</v>
      </c>
      <c r="P53" s="9">
        <v>75000</v>
      </c>
      <c r="Q53" s="265">
        <v>81000</v>
      </c>
      <c r="R53" s="272">
        <f t="shared" si="16"/>
        <v>0.41363636363636364</v>
      </c>
      <c r="S53" s="272">
        <f t="shared" si="17"/>
        <v>0.37954545454545452</v>
      </c>
      <c r="T53" s="272">
        <f t="shared" si="12"/>
        <v>-0.20681818181818182</v>
      </c>
      <c r="U53" s="272">
        <f t="shared" si="18"/>
        <v>0.39823008849557523</v>
      </c>
      <c r="V53" s="272">
        <f t="shared" si="19"/>
        <v>0.13333333333333333</v>
      </c>
      <c r="W53" s="272">
        <f t="shared" si="13"/>
        <v>-5.3097345132743362E-2</v>
      </c>
      <c r="X53" s="272">
        <f t="shared" si="20"/>
        <v>0.68224299065420557</v>
      </c>
      <c r="Y53" s="272">
        <f t="shared" si="21"/>
        <v>0.28037383177570091</v>
      </c>
      <c r="Z53" s="272" t="e">
        <f t="shared" si="14"/>
        <v>#VALUE!</v>
      </c>
      <c r="AA53" s="272">
        <f t="shared" si="22"/>
        <v>0.28767123287671231</v>
      </c>
      <c r="AB53" s="272">
        <f t="shared" si="23"/>
        <v>0.34246575342465752</v>
      </c>
      <c r="AC53" s="272">
        <f t="shared" si="15"/>
        <v>-0.36986301369863012</v>
      </c>
    </row>
    <row r="54" spans="1:29">
      <c r="A54" s="121" t="s">
        <v>186</v>
      </c>
      <c r="B54" s="105">
        <v>517000</v>
      </c>
      <c r="C54" s="9">
        <v>195000</v>
      </c>
      <c r="D54" s="9">
        <v>137000</v>
      </c>
      <c r="E54" s="9">
        <v>185000</v>
      </c>
      <c r="F54" s="9">
        <v>199000</v>
      </c>
      <c r="G54" s="9">
        <v>121000</v>
      </c>
      <c r="H54" s="9">
        <v>48000</v>
      </c>
      <c r="I54" s="9">
        <v>31000</v>
      </c>
      <c r="J54" s="9">
        <v>99000</v>
      </c>
      <c r="K54" s="9">
        <v>47000</v>
      </c>
      <c r="L54" s="9">
        <v>40000</v>
      </c>
      <c r="M54" s="9">
        <v>13000</v>
      </c>
      <c r="N54" s="9">
        <v>218000</v>
      </c>
      <c r="O54" s="9">
        <v>27000</v>
      </c>
      <c r="P54" s="9">
        <v>50000</v>
      </c>
      <c r="Q54" s="265">
        <v>141000</v>
      </c>
      <c r="R54" s="272">
        <f t="shared" si="16"/>
        <v>0.37717601547388779</v>
      </c>
      <c r="S54" s="272">
        <f t="shared" si="17"/>
        <v>0.26499032882011603</v>
      </c>
      <c r="T54" s="272">
        <f t="shared" si="12"/>
        <v>-0.35783365570599612</v>
      </c>
      <c r="U54" s="272">
        <f t="shared" si="18"/>
        <v>0.60804020100502509</v>
      </c>
      <c r="V54" s="272">
        <f t="shared" si="19"/>
        <v>0.256198347107438</v>
      </c>
      <c r="W54" s="272">
        <f t="shared" si="13"/>
        <v>-0.15577889447236182</v>
      </c>
      <c r="X54" s="272">
        <f t="shared" si="20"/>
        <v>0.47474747474747475</v>
      </c>
      <c r="Y54" s="272">
        <f t="shared" si="21"/>
        <v>0.40404040404040403</v>
      </c>
      <c r="Z54" s="272">
        <f t="shared" si="14"/>
        <v>-0.13131313131313133</v>
      </c>
      <c r="AA54" s="272">
        <f t="shared" si="22"/>
        <v>0.12385321100917432</v>
      </c>
      <c r="AB54" s="272">
        <f t="shared" si="23"/>
        <v>0.22935779816513763</v>
      </c>
      <c r="AC54" s="272">
        <f t="shared" si="15"/>
        <v>-0.64678899082568808</v>
      </c>
    </row>
    <row r="55" spans="1:29">
      <c r="A55" s="122" t="s">
        <v>187</v>
      </c>
      <c r="B55" s="105">
        <v>221000</v>
      </c>
      <c r="C55" s="9">
        <v>102000</v>
      </c>
      <c r="D55" s="9">
        <v>68000</v>
      </c>
      <c r="E55" s="9">
        <v>52000</v>
      </c>
      <c r="F55" s="9">
        <v>93000</v>
      </c>
      <c r="G55" s="9">
        <v>60000</v>
      </c>
      <c r="H55" s="9">
        <v>17000</v>
      </c>
      <c r="I55" s="9">
        <v>16000</v>
      </c>
      <c r="J55" s="9">
        <v>55000</v>
      </c>
      <c r="K55" s="9">
        <v>28000</v>
      </c>
      <c r="L55" s="9">
        <v>23000</v>
      </c>
      <c r="M55" s="9">
        <v>3000</v>
      </c>
      <c r="N55" s="9">
        <v>73000</v>
      </c>
      <c r="O55" s="9">
        <v>14000</v>
      </c>
      <c r="P55" s="9">
        <v>27000</v>
      </c>
      <c r="Q55" s="265">
        <v>32000</v>
      </c>
      <c r="R55" s="272">
        <f t="shared" si="16"/>
        <v>0.46153846153846156</v>
      </c>
      <c r="S55" s="272">
        <f t="shared" si="17"/>
        <v>0.30769230769230771</v>
      </c>
      <c r="T55" s="272">
        <f t="shared" si="12"/>
        <v>-0.23529411764705882</v>
      </c>
      <c r="U55" s="272">
        <f t="shared" si="18"/>
        <v>0.64516129032258063</v>
      </c>
      <c r="V55" s="272">
        <f t="shared" si="19"/>
        <v>0.26666666666666666</v>
      </c>
      <c r="W55" s="272">
        <f t="shared" si="13"/>
        <v>-0.17204301075268819</v>
      </c>
      <c r="X55" s="272">
        <f t="shared" si="20"/>
        <v>0.50909090909090904</v>
      </c>
      <c r="Y55" s="272">
        <f t="shared" si="21"/>
        <v>0.41818181818181815</v>
      </c>
      <c r="Z55" s="272">
        <f t="shared" si="14"/>
        <v>-5.4545454545454543E-2</v>
      </c>
      <c r="AA55" s="272">
        <f t="shared" si="22"/>
        <v>0.19178082191780821</v>
      </c>
      <c r="AB55" s="272">
        <f t="shared" si="23"/>
        <v>0.36986301369863012</v>
      </c>
      <c r="AC55" s="272">
        <f t="shared" si="15"/>
        <v>-0.43835616438356162</v>
      </c>
    </row>
    <row r="56" spans="1:29">
      <c r="A56" s="122" t="s">
        <v>188</v>
      </c>
      <c r="B56" s="105">
        <v>172000</v>
      </c>
      <c r="C56" s="9">
        <v>51000</v>
      </c>
      <c r="D56" s="9">
        <v>35000</v>
      </c>
      <c r="E56" s="9">
        <v>86000</v>
      </c>
      <c r="F56" s="9">
        <v>54000</v>
      </c>
      <c r="G56" s="9">
        <v>34000</v>
      </c>
      <c r="H56" s="9">
        <v>15000</v>
      </c>
      <c r="I56" s="13" t="s">
        <v>191</v>
      </c>
      <c r="J56" s="9">
        <v>24000</v>
      </c>
      <c r="K56" s="9">
        <v>9000</v>
      </c>
      <c r="L56" s="9">
        <v>6000</v>
      </c>
      <c r="M56" s="13" t="s">
        <v>191</v>
      </c>
      <c r="N56" s="9">
        <v>94000</v>
      </c>
      <c r="O56" s="9">
        <v>8000</v>
      </c>
      <c r="P56" s="9">
        <v>14000</v>
      </c>
      <c r="Q56" s="265">
        <v>72000</v>
      </c>
      <c r="R56" s="272">
        <f t="shared" si="16"/>
        <v>0.29651162790697677</v>
      </c>
      <c r="S56" s="272">
        <f t="shared" si="17"/>
        <v>0.20348837209302326</v>
      </c>
      <c r="T56" s="272">
        <f t="shared" si="12"/>
        <v>-0.5</v>
      </c>
      <c r="U56" s="272">
        <f t="shared" si="18"/>
        <v>0.62962962962962965</v>
      </c>
      <c r="V56" s="272" t="e">
        <f t="shared" si="19"/>
        <v>#VALUE!</v>
      </c>
      <c r="W56" s="272" t="e">
        <f t="shared" si="13"/>
        <v>#VALUE!</v>
      </c>
      <c r="X56" s="272">
        <f t="shared" si="20"/>
        <v>0.375</v>
      </c>
      <c r="Y56" s="272">
        <f t="shared" si="21"/>
        <v>0.25</v>
      </c>
      <c r="Z56" s="272" t="e">
        <f t="shared" si="14"/>
        <v>#VALUE!</v>
      </c>
      <c r="AA56" s="272">
        <f t="shared" si="22"/>
        <v>8.5106382978723402E-2</v>
      </c>
      <c r="AB56" s="272">
        <f t="shared" si="23"/>
        <v>0.14893617021276595</v>
      </c>
      <c r="AC56" s="272">
        <f t="shared" si="15"/>
        <v>-0.76595744680851063</v>
      </c>
    </row>
    <row r="57" spans="1:29">
      <c r="A57" s="122" t="s">
        <v>189</v>
      </c>
      <c r="B57" s="105">
        <v>106000</v>
      </c>
      <c r="C57" s="9">
        <v>38000</v>
      </c>
      <c r="D57" s="9">
        <v>29000</v>
      </c>
      <c r="E57" s="9">
        <v>40000</v>
      </c>
      <c r="F57" s="9">
        <v>49000</v>
      </c>
      <c r="G57" s="9">
        <v>27000</v>
      </c>
      <c r="H57" s="9">
        <v>14000</v>
      </c>
      <c r="I57" s="9">
        <v>9000</v>
      </c>
      <c r="J57" s="9">
        <v>16000</v>
      </c>
      <c r="K57" s="9">
        <v>5000</v>
      </c>
      <c r="L57" s="9">
        <v>10000</v>
      </c>
      <c r="M57" s="13" t="s">
        <v>191</v>
      </c>
      <c r="N57" s="9">
        <v>40000</v>
      </c>
      <c r="O57" s="13" t="s">
        <v>191</v>
      </c>
      <c r="P57" s="9">
        <v>5000</v>
      </c>
      <c r="Q57" s="265">
        <v>30000</v>
      </c>
      <c r="R57" s="272">
        <f t="shared" si="16"/>
        <v>0.35849056603773582</v>
      </c>
      <c r="S57" s="272">
        <f t="shared" si="17"/>
        <v>0.27358490566037735</v>
      </c>
      <c r="T57" s="272">
        <f t="shared" si="12"/>
        <v>-0.37735849056603776</v>
      </c>
      <c r="U57" s="272">
        <f t="shared" si="18"/>
        <v>0.55102040816326525</v>
      </c>
      <c r="V57" s="272">
        <f t="shared" si="19"/>
        <v>0.33333333333333331</v>
      </c>
      <c r="W57" s="272">
        <f t="shared" si="13"/>
        <v>-0.18367346938775511</v>
      </c>
      <c r="X57" s="272">
        <f t="shared" si="20"/>
        <v>0.3125</v>
      </c>
      <c r="Y57" s="272">
        <f t="shared" si="21"/>
        <v>0.625</v>
      </c>
      <c r="Z57" s="272" t="e">
        <f t="shared" si="14"/>
        <v>#VALUE!</v>
      </c>
      <c r="AA57" s="272" t="e">
        <f t="shared" si="22"/>
        <v>#VALUE!</v>
      </c>
      <c r="AB57" s="272">
        <f t="shared" si="23"/>
        <v>0.125</v>
      </c>
      <c r="AC57" s="272">
        <f t="shared" si="15"/>
        <v>-0.75</v>
      </c>
    </row>
    <row r="58" spans="1:29">
      <c r="A58" s="122" t="s">
        <v>190</v>
      </c>
      <c r="B58" s="105">
        <v>17000</v>
      </c>
      <c r="C58" s="9">
        <v>5000</v>
      </c>
      <c r="D58" s="9">
        <v>5000</v>
      </c>
      <c r="E58" s="13" t="s">
        <v>191</v>
      </c>
      <c r="F58" s="13" t="s">
        <v>191</v>
      </c>
      <c r="G58" s="13" t="s">
        <v>220</v>
      </c>
      <c r="H58" s="13" t="s">
        <v>220</v>
      </c>
      <c r="I58" s="13" t="s">
        <v>220</v>
      </c>
      <c r="J58" s="9">
        <v>4000</v>
      </c>
      <c r="K58" s="13" t="s">
        <v>191</v>
      </c>
      <c r="L58" s="13" t="s">
        <v>220</v>
      </c>
      <c r="M58" s="13" t="s">
        <v>220</v>
      </c>
      <c r="N58" s="9">
        <v>11000</v>
      </c>
      <c r="O58" s="13" t="s">
        <v>220</v>
      </c>
      <c r="P58" s="9">
        <v>3000</v>
      </c>
      <c r="Q58" s="269" t="s">
        <v>191</v>
      </c>
      <c r="R58" s="272">
        <f t="shared" si="16"/>
        <v>0.29411764705882354</v>
      </c>
      <c r="S58" s="272">
        <f t="shared" si="17"/>
        <v>0.29411764705882354</v>
      </c>
      <c r="T58" s="272" t="e">
        <f t="shared" si="12"/>
        <v>#VALUE!</v>
      </c>
      <c r="U58" s="272" t="e">
        <f t="shared" si="18"/>
        <v>#VALUE!</v>
      </c>
      <c r="V58" s="272" t="e">
        <f t="shared" si="19"/>
        <v>#VALUE!</v>
      </c>
      <c r="W58" s="272" t="e">
        <f t="shared" si="13"/>
        <v>#VALUE!</v>
      </c>
      <c r="X58" s="272" t="e">
        <f t="shared" si="20"/>
        <v>#VALUE!</v>
      </c>
      <c r="Y58" s="272" t="e">
        <f t="shared" si="21"/>
        <v>#VALUE!</v>
      </c>
      <c r="Z58" s="272" t="e">
        <f t="shared" si="14"/>
        <v>#VALUE!</v>
      </c>
      <c r="AA58" s="272" t="e">
        <f t="shared" si="22"/>
        <v>#VALUE!</v>
      </c>
      <c r="AB58" s="272">
        <f t="shared" si="23"/>
        <v>0.27272727272727271</v>
      </c>
      <c r="AC58" s="272" t="e">
        <f t="shared" si="15"/>
        <v>#VALUE!</v>
      </c>
    </row>
    <row r="59" spans="1:29">
      <c r="A59" s="121" t="s">
        <v>192</v>
      </c>
      <c r="B59" s="105">
        <v>4229000</v>
      </c>
      <c r="C59" s="9">
        <v>1050000</v>
      </c>
      <c r="D59" s="9">
        <v>1456000</v>
      </c>
      <c r="E59" s="9">
        <v>1723000</v>
      </c>
      <c r="F59" s="9">
        <v>321000</v>
      </c>
      <c r="G59" s="9">
        <v>101000</v>
      </c>
      <c r="H59" s="9">
        <v>92000</v>
      </c>
      <c r="I59" s="9">
        <v>128000</v>
      </c>
      <c r="J59" s="9">
        <v>353000</v>
      </c>
      <c r="K59" s="9">
        <v>132000</v>
      </c>
      <c r="L59" s="9">
        <v>86000</v>
      </c>
      <c r="M59" s="9">
        <v>135000</v>
      </c>
      <c r="N59" s="9">
        <v>3554000</v>
      </c>
      <c r="O59" s="9">
        <v>818000</v>
      </c>
      <c r="P59" s="9">
        <v>1277000</v>
      </c>
      <c r="Q59" s="265">
        <v>1459000</v>
      </c>
      <c r="R59" s="272">
        <f t="shared" si="16"/>
        <v>0.24828564672499409</v>
      </c>
      <c r="S59" s="272">
        <f t="shared" si="17"/>
        <v>0.34428943012532515</v>
      </c>
      <c r="T59" s="272">
        <f t="shared" si="12"/>
        <v>-0.40742492314968076</v>
      </c>
      <c r="U59" s="272">
        <f t="shared" si="18"/>
        <v>0.31464174454828658</v>
      </c>
      <c r="V59" s="272">
        <f t="shared" si="19"/>
        <v>1.2673267326732673</v>
      </c>
      <c r="W59" s="272">
        <f t="shared" si="13"/>
        <v>-0.39875389408099687</v>
      </c>
      <c r="X59" s="272">
        <f t="shared" si="20"/>
        <v>0.37393767705382436</v>
      </c>
      <c r="Y59" s="272">
        <f t="shared" si="21"/>
        <v>0.24362606232294617</v>
      </c>
      <c r="Z59" s="272">
        <f t="shared" si="14"/>
        <v>-0.38243626062322944</v>
      </c>
      <c r="AA59" s="272">
        <f t="shared" si="22"/>
        <v>0.23016319639842431</v>
      </c>
      <c r="AB59" s="272">
        <f t="shared" si="23"/>
        <v>0.35931344963421497</v>
      </c>
      <c r="AC59" s="272">
        <f t="shared" si="15"/>
        <v>-0.41052335396736073</v>
      </c>
    </row>
    <row r="60" spans="1:29">
      <c r="A60" s="122" t="s">
        <v>193</v>
      </c>
      <c r="B60" s="105">
        <v>714000</v>
      </c>
      <c r="C60" s="9">
        <v>210000</v>
      </c>
      <c r="D60" s="9">
        <v>320000</v>
      </c>
      <c r="E60" s="9">
        <v>183000</v>
      </c>
      <c r="F60" s="9">
        <v>67000</v>
      </c>
      <c r="G60" s="9">
        <v>22000</v>
      </c>
      <c r="H60" s="9">
        <v>26000</v>
      </c>
      <c r="I60" s="9">
        <v>19000</v>
      </c>
      <c r="J60" s="9">
        <v>34000</v>
      </c>
      <c r="K60" s="9">
        <v>7000</v>
      </c>
      <c r="L60" s="9">
        <v>12000</v>
      </c>
      <c r="M60" s="9">
        <v>15000</v>
      </c>
      <c r="N60" s="9">
        <v>613000</v>
      </c>
      <c r="O60" s="9">
        <v>181000</v>
      </c>
      <c r="P60" s="9">
        <v>283000</v>
      </c>
      <c r="Q60" s="265">
        <v>149000</v>
      </c>
      <c r="R60" s="272">
        <f t="shared" si="16"/>
        <v>0.29411764705882354</v>
      </c>
      <c r="S60" s="272">
        <f t="shared" si="17"/>
        <v>0.44817927170868349</v>
      </c>
      <c r="T60" s="272">
        <f t="shared" si="12"/>
        <v>-0.25630252100840334</v>
      </c>
      <c r="U60" s="272">
        <f t="shared" si="18"/>
        <v>0.32835820895522388</v>
      </c>
      <c r="V60" s="272">
        <f t="shared" si="19"/>
        <v>0.86363636363636365</v>
      </c>
      <c r="W60" s="272">
        <f t="shared" si="13"/>
        <v>-0.28358208955223879</v>
      </c>
      <c r="X60" s="272">
        <f t="shared" si="20"/>
        <v>0.20588235294117646</v>
      </c>
      <c r="Y60" s="272">
        <f t="shared" si="21"/>
        <v>0.35294117647058826</v>
      </c>
      <c r="Z60" s="272">
        <f t="shared" si="14"/>
        <v>-0.44117647058823528</v>
      </c>
      <c r="AA60" s="272">
        <f t="shared" si="22"/>
        <v>0.29526916802610115</v>
      </c>
      <c r="AB60" s="272">
        <f t="shared" si="23"/>
        <v>0.46166394779771613</v>
      </c>
      <c r="AC60" s="272">
        <f t="shared" si="15"/>
        <v>-0.24306688417618272</v>
      </c>
    </row>
    <row r="61" spans="1:29">
      <c r="A61" s="122" t="s">
        <v>194</v>
      </c>
      <c r="B61" s="105">
        <v>777000</v>
      </c>
      <c r="C61" s="9">
        <v>140000</v>
      </c>
      <c r="D61" s="9">
        <v>245000</v>
      </c>
      <c r="E61" s="9">
        <v>392000</v>
      </c>
      <c r="F61" s="9">
        <v>52000</v>
      </c>
      <c r="G61" s="9">
        <v>10000</v>
      </c>
      <c r="H61" s="9">
        <v>14000</v>
      </c>
      <c r="I61" s="9">
        <v>29000</v>
      </c>
      <c r="J61" s="9">
        <v>53000</v>
      </c>
      <c r="K61" s="9">
        <v>15000</v>
      </c>
      <c r="L61" s="9">
        <v>13000</v>
      </c>
      <c r="M61" s="9">
        <v>25000</v>
      </c>
      <c r="N61" s="9">
        <v>671000</v>
      </c>
      <c r="O61" s="9">
        <v>114000</v>
      </c>
      <c r="P61" s="9">
        <v>218000</v>
      </c>
      <c r="Q61" s="265">
        <v>339000</v>
      </c>
      <c r="R61" s="272">
        <f t="shared" si="16"/>
        <v>0.18018018018018017</v>
      </c>
      <c r="S61" s="272">
        <f t="shared" si="17"/>
        <v>0.31531531531531531</v>
      </c>
      <c r="T61" s="272">
        <f t="shared" si="12"/>
        <v>-0.50450450450450446</v>
      </c>
      <c r="U61" s="272">
        <f t="shared" si="18"/>
        <v>0.19230769230769232</v>
      </c>
      <c r="V61" s="272">
        <f t="shared" si="19"/>
        <v>2.9</v>
      </c>
      <c r="W61" s="272">
        <f t="shared" si="13"/>
        <v>-0.55769230769230771</v>
      </c>
      <c r="X61" s="272">
        <f t="shared" si="20"/>
        <v>0.28301886792452829</v>
      </c>
      <c r="Y61" s="272">
        <f t="shared" si="21"/>
        <v>0.24528301886792453</v>
      </c>
      <c r="Z61" s="272">
        <f t="shared" si="14"/>
        <v>-0.47169811320754718</v>
      </c>
      <c r="AA61" s="272">
        <f t="shared" si="22"/>
        <v>0.16989567809239942</v>
      </c>
      <c r="AB61" s="272">
        <f t="shared" si="23"/>
        <v>0.32488822652757077</v>
      </c>
      <c r="AC61" s="272">
        <f t="shared" si="15"/>
        <v>-0.50521609538002976</v>
      </c>
    </row>
    <row r="62" spans="1:29">
      <c r="A62" s="122" t="s">
        <v>195</v>
      </c>
      <c r="B62" s="105">
        <v>1521000</v>
      </c>
      <c r="C62" s="9">
        <v>436000</v>
      </c>
      <c r="D62" s="9">
        <v>518000</v>
      </c>
      <c r="E62" s="9">
        <v>567000</v>
      </c>
      <c r="F62" s="9">
        <v>108000</v>
      </c>
      <c r="G62" s="9">
        <v>40000</v>
      </c>
      <c r="H62" s="9">
        <v>29000</v>
      </c>
      <c r="I62" s="9">
        <v>40000</v>
      </c>
      <c r="J62" s="9">
        <v>146000</v>
      </c>
      <c r="K62" s="9">
        <v>66000</v>
      </c>
      <c r="L62" s="9">
        <v>42000</v>
      </c>
      <c r="M62" s="9">
        <v>38000</v>
      </c>
      <c r="N62" s="9">
        <v>1267000</v>
      </c>
      <c r="O62" s="9">
        <v>330000</v>
      </c>
      <c r="P62" s="9">
        <v>448000</v>
      </c>
      <c r="Q62" s="265">
        <v>489000</v>
      </c>
      <c r="R62" s="272">
        <f t="shared" si="16"/>
        <v>0.28665351742274819</v>
      </c>
      <c r="S62" s="272">
        <f t="shared" si="17"/>
        <v>0.34056541748849439</v>
      </c>
      <c r="T62" s="272">
        <f t="shared" si="12"/>
        <v>-0.37278106508875741</v>
      </c>
      <c r="U62" s="272">
        <f t="shared" si="18"/>
        <v>0.37037037037037035</v>
      </c>
      <c r="V62" s="272">
        <f t="shared" si="19"/>
        <v>1</v>
      </c>
      <c r="W62" s="272">
        <f t="shared" si="13"/>
        <v>-0.37037037037037035</v>
      </c>
      <c r="X62" s="272">
        <f t="shared" si="20"/>
        <v>0.45205479452054792</v>
      </c>
      <c r="Y62" s="272">
        <f t="shared" si="21"/>
        <v>0.28767123287671231</v>
      </c>
      <c r="Z62" s="272">
        <f t="shared" si="14"/>
        <v>-0.26027397260273971</v>
      </c>
      <c r="AA62" s="272">
        <f t="shared" si="22"/>
        <v>0.26045777426992894</v>
      </c>
      <c r="AB62" s="272">
        <f t="shared" si="23"/>
        <v>0.35359116022099446</v>
      </c>
      <c r="AC62" s="272">
        <f t="shared" si="15"/>
        <v>-0.38595106550907654</v>
      </c>
    </row>
    <row r="63" spans="1:29">
      <c r="A63" s="122" t="s">
        <v>196</v>
      </c>
      <c r="B63" s="105">
        <v>800000</v>
      </c>
      <c r="C63" s="9">
        <v>159000</v>
      </c>
      <c r="D63" s="9">
        <v>266000</v>
      </c>
      <c r="E63" s="9">
        <v>376000</v>
      </c>
      <c r="F63" s="9">
        <v>54000</v>
      </c>
      <c r="G63" s="9">
        <v>13000</v>
      </c>
      <c r="H63" s="9">
        <v>14000</v>
      </c>
      <c r="I63" s="9">
        <v>28000</v>
      </c>
      <c r="J63" s="9">
        <v>66000</v>
      </c>
      <c r="K63" s="9">
        <v>13000</v>
      </c>
      <c r="L63" s="9">
        <v>14000</v>
      </c>
      <c r="M63" s="9">
        <v>39000</v>
      </c>
      <c r="N63" s="9">
        <v>680000</v>
      </c>
      <c r="O63" s="9">
        <v>133000</v>
      </c>
      <c r="P63" s="9">
        <v>238000</v>
      </c>
      <c r="Q63" s="265">
        <v>309000</v>
      </c>
      <c r="R63" s="272">
        <f t="shared" si="16"/>
        <v>0.19875000000000001</v>
      </c>
      <c r="S63" s="272">
        <f t="shared" si="17"/>
        <v>0.33250000000000002</v>
      </c>
      <c r="T63" s="272">
        <f t="shared" si="12"/>
        <v>-0.47</v>
      </c>
      <c r="U63" s="272">
        <f t="shared" si="18"/>
        <v>0.24074074074074073</v>
      </c>
      <c r="V63" s="272">
        <f t="shared" si="19"/>
        <v>2.1538461538461537</v>
      </c>
      <c r="W63" s="272">
        <f t="shared" si="13"/>
        <v>-0.51851851851851849</v>
      </c>
      <c r="X63" s="272">
        <f t="shared" si="20"/>
        <v>0.19696969696969696</v>
      </c>
      <c r="Y63" s="272">
        <f t="shared" si="21"/>
        <v>0.21212121212121213</v>
      </c>
      <c r="Z63" s="272">
        <f t="shared" si="14"/>
        <v>-0.59090909090909094</v>
      </c>
      <c r="AA63" s="272">
        <f t="shared" si="22"/>
        <v>0.19558823529411765</v>
      </c>
      <c r="AB63" s="272">
        <f t="shared" si="23"/>
        <v>0.35</v>
      </c>
      <c r="AC63" s="272">
        <f t="shared" si="15"/>
        <v>-0.45441176470588235</v>
      </c>
    </row>
    <row r="64" spans="1:29">
      <c r="A64" s="122" t="s">
        <v>197</v>
      </c>
      <c r="B64" s="105">
        <v>417000</v>
      </c>
      <c r="C64" s="9">
        <v>107000</v>
      </c>
      <c r="D64" s="9">
        <v>107000</v>
      </c>
      <c r="E64" s="9">
        <v>204000</v>
      </c>
      <c r="F64" s="9">
        <v>39000</v>
      </c>
      <c r="G64" s="9">
        <v>16000</v>
      </c>
      <c r="H64" s="9">
        <v>11000</v>
      </c>
      <c r="I64" s="9">
        <v>13000</v>
      </c>
      <c r="J64" s="9">
        <v>55000</v>
      </c>
      <c r="K64" s="9">
        <v>32000</v>
      </c>
      <c r="L64" s="9">
        <v>5000</v>
      </c>
      <c r="M64" s="9">
        <v>19000</v>
      </c>
      <c r="N64" s="9">
        <v>323000</v>
      </c>
      <c r="O64" s="9">
        <v>60000</v>
      </c>
      <c r="P64" s="9">
        <v>91000</v>
      </c>
      <c r="Q64" s="265">
        <v>172000</v>
      </c>
      <c r="R64" s="272">
        <f t="shared" si="16"/>
        <v>0.25659472422062352</v>
      </c>
      <c r="S64" s="272">
        <f t="shared" si="17"/>
        <v>0.25659472422062352</v>
      </c>
      <c r="T64" s="272">
        <f t="shared" si="12"/>
        <v>-0.48920863309352519</v>
      </c>
      <c r="U64" s="272">
        <f t="shared" si="18"/>
        <v>0.41025641025641024</v>
      </c>
      <c r="V64" s="272">
        <f t="shared" si="19"/>
        <v>0.8125</v>
      </c>
      <c r="W64" s="272">
        <f t="shared" si="13"/>
        <v>-0.33333333333333331</v>
      </c>
      <c r="X64" s="272">
        <f t="shared" si="20"/>
        <v>0.58181818181818179</v>
      </c>
      <c r="Y64" s="272">
        <f t="shared" si="21"/>
        <v>9.0909090909090912E-2</v>
      </c>
      <c r="Z64" s="272">
        <f t="shared" si="14"/>
        <v>-0.34545454545454546</v>
      </c>
      <c r="AA64" s="272">
        <f t="shared" si="22"/>
        <v>0.18575851393188855</v>
      </c>
      <c r="AB64" s="272">
        <f t="shared" si="23"/>
        <v>0.28173374613003094</v>
      </c>
      <c r="AC64" s="272">
        <f t="shared" si="15"/>
        <v>-0.53250773993808054</v>
      </c>
    </row>
    <row r="65" spans="1:29">
      <c r="A65" s="121" t="s">
        <v>198</v>
      </c>
      <c r="B65" s="105">
        <v>2725000</v>
      </c>
      <c r="C65" s="9">
        <v>1498000</v>
      </c>
      <c r="D65" s="9">
        <v>864000</v>
      </c>
      <c r="E65" s="9">
        <v>364000</v>
      </c>
      <c r="F65" s="9">
        <v>1470000</v>
      </c>
      <c r="G65" s="9">
        <v>998000</v>
      </c>
      <c r="H65" s="9">
        <v>406000</v>
      </c>
      <c r="I65" s="9">
        <v>66000</v>
      </c>
      <c r="J65" s="9">
        <v>428000</v>
      </c>
      <c r="K65" s="9">
        <v>256000</v>
      </c>
      <c r="L65" s="9">
        <v>145000</v>
      </c>
      <c r="M65" s="9">
        <v>27000</v>
      </c>
      <c r="N65" s="9">
        <v>827000</v>
      </c>
      <c r="O65" s="9">
        <v>244000</v>
      </c>
      <c r="P65" s="9">
        <v>312000</v>
      </c>
      <c r="Q65" s="265">
        <v>271000</v>
      </c>
      <c r="R65" s="272">
        <f t="shared" si="16"/>
        <v>0.54972477064220182</v>
      </c>
      <c r="S65" s="272">
        <f t="shared" si="17"/>
        <v>0.31706422018348623</v>
      </c>
      <c r="T65" s="272">
        <f t="shared" si="12"/>
        <v>-0.13357798165137616</v>
      </c>
      <c r="U65" s="272">
        <f t="shared" si="18"/>
        <v>0.67891156462585034</v>
      </c>
      <c r="V65" s="272">
        <f t="shared" si="19"/>
        <v>6.6132264529058113E-2</v>
      </c>
      <c r="W65" s="272">
        <f t="shared" si="13"/>
        <v>-4.4897959183673466E-2</v>
      </c>
      <c r="X65" s="272">
        <f t="shared" si="20"/>
        <v>0.59813084112149528</v>
      </c>
      <c r="Y65" s="272">
        <f t="shared" si="21"/>
        <v>0.33878504672897197</v>
      </c>
      <c r="Z65" s="272">
        <f t="shared" si="14"/>
        <v>-6.3084112149532703E-2</v>
      </c>
      <c r="AA65" s="272">
        <f t="shared" si="22"/>
        <v>0.29504232164449817</v>
      </c>
      <c r="AB65" s="272">
        <f t="shared" si="23"/>
        <v>0.37726723095525999</v>
      </c>
      <c r="AC65" s="272">
        <f t="shared" si="15"/>
        <v>-0.32769044740024184</v>
      </c>
    </row>
    <row r="66" spans="1:29">
      <c r="A66" s="122" t="s">
        <v>199</v>
      </c>
      <c r="B66" s="105">
        <v>86000</v>
      </c>
      <c r="C66" s="9">
        <v>40000</v>
      </c>
      <c r="D66" s="9">
        <v>34000</v>
      </c>
      <c r="E66" s="9">
        <v>12000</v>
      </c>
      <c r="F66" s="9">
        <v>47000</v>
      </c>
      <c r="G66" s="9">
        <v>27000</v>
      </c>
      <c r="H66" s="9">
        <v>17000</v>
      </c>
      <c r="I66" s="9">
        <v>3000</v>
      </c>
      <c r="J66" s="9">
        <v>9000</v>
      </c>
      <c r="K66" s="13" t="s">
        <v>191</v>
      </c>
      <c r="L66" s="9">
        <v>3000</v>
      </c>
      <c r="M66" s="13" t="s">
        <v>220</v>
      </c>
      <c r="N66" s="9">
        <v>30000</v>
      </c>
      <c r="O66" s="9">
        <v>8000</v>
      </c>
      <c r="P66" s="9">
        <v>14000</v>
      </c>
      <c r="Q66" s="265">
        <v>7000</v>
      </c>
      <c r="R66" s="272">
        <f t="shared" si="16"/>
        <v>0.46511627906976744</v>
      </c>
      <c r="S66" s="272">
        <f t="shared" si="17"/>
        <v>0.39534883720930231</v>
      </c>
      <c r="T66" s="272">
        <f t="shared" si="12"/>
        <v>-0.13953488372093023</v>
      </c>
      <c r="U66" s="272">
        <f t="shared" si="18"/>
        <v>0.57446808510638303</v>
      </c>
      <c r="V66" s="272">
        <f t="shared" si="19"/>
        <v>0.1111111111111111</v>
      </c>
      <c r="W66" s="272">
        <f t="shared" si="13"/>
        <v>-6.3829787234042548E-2</v>
      </c>
      <c r="X66" s="272" t="e">
        <f t="shared" si="20"/>
        <v>#VALUE!</v>
      </c>
      <c r="Y66" s="272">
        <f t="shared" si="21"/>
        <v>0.33333333333333331</v>
      </c>
      <c r="Z66" s="272" t="e">
        <f t="shared" si="14"/>
        <v>#VALUE!</v>
      </c>
      <c r="AA66" s="272">
        <f t="shared" si="22"/>
        <v>0.26666666666666666</v>
      </c>
      <c r="AB66" s="272">
        <f t="shared" si="23"/>
        <v>0.46666666666666667</v>
      </c>
      <c r="AC66" s="272">
        <f t="shared" si="15"/>
        <v>-0.23333333333333334</v>
      </c>
    </row>
    <row r="67" spans="1:29">
      <c r="A67" s="122" t="s">
        <v>200</v>
      </c>
      <c r="B67" s="105">
        <v>202000</v>
      </c>
      <c r="C67" s="9">
        <v>84000</v>
      </c>
      <c r="D67" s="9">
        <v>73000</v>
      </c>
      <c r="E67" s="9">
        <v>44000</v>
      </c>
      <c r="F67" s="9">
        <v>112000</v>
      </c>
      <c r="G67" s="9">
        <v>54000</v>
      </c>
      <c r="H67" s="9">
        <v>48000</v>
      </c>
      <c r="I67" s="9">
        <v>10000</v>
      </c>
      <c r="J67" s="9">
        <v>25000</v>
      </c>
      <c r="K67" s="9">
        <v>16000</v>
      </c>
      <c r="L67" s="9">
        <v>7000</v>
      </c>
      <c r="M67" s="9">
        <v>2000</v>
      </c>
      <c r="N67" s="9">
        <v>65000</v>
      </c>
      <c r="O67" s="9">
        <v>14000</v>
      </c>
      <c r="P67" s="9">
        <v>18000</v>
      </c>
      <c r="Q67" s="265">
        <v>33000</v>
      </c>
      <c r="R67" s="272">
        <f t="shared" si="16"/>
        <v>0.41584158415841582</v>
      </c>
      <c r="S67" s="272">
        <f t="shared" si="17"/>
        <v>0.36138613861386137</v>
      </c>
      <c r="T67" s="272">
        <f t="shared" si="12"/>
        <v>-0.21782178217821782</v>
      </c>
      <c r="U67" s="272">
        <f t="shared" si="18"/>
        <v>0.48214285714285715</v>
      </c>
      <c r="V67" s="272">
        <f t="shared" si="19"/>
        <v>0.18518518518518517</v>
      </c>
      <c r="W67" s="272">
        <f t="shared" si="13"/>
        <v>-8.9285714285714288E-2</v>
      </c>
      <c r="X67" s="272">
        <f t="shared" si="20"/>
        <v>0.64</v>
      </c>
      <c r="Y67" s="272">
        <f t="shared" si="21"/>
        <v>0.28000000000000003</v>
      </c>
      <c r="Z67" s="272">
        <f t="shared" si="14"/>
        <v>-0.08</v>
      </c>
      <c r="AA67" s="272">
        <f t="shared" si="22"/>
        <v>0.2153846153846154</v>
      </c>
      <c r="AB67" s="272">
        <f t="shared" si="23"/>
        <v>0.27692307692307694</v>
      </c>
      <c r="AC67" s="272">
        <f t="shared" si="15"/>
        <v>-0.50769230769230766</v>
      </c>
    </row>
    <row r="68" spans="1:29">
      <c r="A68" s="122" t="s">
        <v>201</v>
      </c>
      <c r="B68" s="105">
        <v>395000</v>
      </c>
      <c r="C68" s="9">
        <v>244000</v>
      </c>
      <c r="D68" s="9">
        <v>89000</v>
      </c>
      <c r="E68" s="9">
        <v>62000</v>
      </c>
      <c r="F68" s="9">
        <v>194000</v>
      </c>
      <c r="G68" s="9">
        <v>154000</v>
      </c>
      <c r="H68" s="9">
        <v>24000</v>
      </c>
      <c r="I68" s="9">
        <v>15000</v>
      </c>
      <c r="J68" s="9">
        <v>73000</v>
      </c>
      <c r="K68" s="9">
        <v>50000</v>
      </c>
      <c r="L68" s="9">
        <v>16000</v>
      </c>
      <c r="M68" s="9">
        <v>7000</v>
      </c>
      <c r="N68" s="9">
        <v>128000</v>
      </c>
      <c r="O68" s="9">
        <v>40000</v>
      </c>
      <c r="P68" s="9">
        <v>48000</v>
      </c>
      <c r="Q68" s="265">
        <v>40000</v>
      </c>
      <c r="R68" s="272">
        <f t="shared" si="16"/>
        <v>0.61772151898734173</v>
      </c>
      <c r="S68" s="272">
        <f t="shared" si="17"/>
        <v>0.22531645569620254</v>
      </c>
      <c r="T68" s="272">
        <f t="shared" si="12"/>
        <v>-0.1569620253164557</v>
      </c>
      <c r="U68" s="272">
        <f t="shared" si="18"/>
        <v>0.79381443298969068</v>
      </c>
      <c r="V68" s="272">
        <f t="shared" si="19"/>
        <v>9.7402597402597407E-2</v>
      </c>
      <c r="W68" s="272">
        <f t="shared" si="13"/>
        <v>-7.7319587628865982E-2</v>
      </c>
      <c r="X68" s="272">
        <f t="shared" si="20"/>
        <v>0.68493150684931503</v>
      </c>
      <c r="Y68" s="272">
        <f t="shared" si="21"/>
        <v>0.21917808219178081</v>
      </c>
      <c r="Z68" s="272">
        <f t="shared" si="14"/>
        <v>-9.5890410958904104E-2</v>
      </c>
      <c r="AA68" s="272">
        <f t="shared" si="22"/>
        <v>0.3125</v>
      </c>
      <c r="AB68" s="272">
        <f t="shared" si="23"/>
        <v>0.375</v>
      </c>
      <c r="AC68" s="272">
        <f t="shared" si="15"/>
        <v>-0.3125</v>
      </c>
    </row>
    <row r="69" spans="1:29">
      <c r="A69" s="122" t="s">
        <v>202</v>
      </c>
      <c r="B69" s="105">
        <v>924000</v>
      </c>
      <c r="C69" s="9">
        <v>572000</v>
      </c>
      <c r="D69" s="9">
        <v>273000</v>
      </c>
      <c r="E69" s="9">
        <v>78000</v>
      </c>
      <c r="F69" s="9">
        <v>569000</v>
      </c>
      <c r="G69" s="9">
        <v>419000</v>
      </c>
      <c r="H69" s="9">
        <v>137000</v>
      </c>
      <c r="I69" s="9">
        <v>13000</v>
      </c>
      <c r="J69" s="9">
        <v>156000</v>
      </c>
      <c r="K69" s="9">
        <v>82000</v>
      </c>
      <c r="L69" s="9">
        <v>67000</v>
      </c>
      <c r="M69" s="9">
        <v>7000</v>
      </c>
      <c r="N69" s="9">
        <v>198000</v>
      </c>
      <c r="O69" s="9">
        <v>70000</v>
      </c>
      <c r="P69" s="9">
        <v>70000</v>
      </c>
      <c r="Q69" s="265">
        <v>58000</v>
      </c>
      <c r="R69" s="272">
        <f t="shared" si="16"/>
        <v>0.61904761904761907</v>
      </c>
      <c r="S69" s="272">
        <f t="shared" si="17"/>
        <v>0.29545454545454547</v>
      </c>
      <c r="T69" s="272">
        <f t="shared" ref="T69:T100" si="24">(E69/B69)*(-1)</f>
        <v>-8.4415584415584416E-2</v>
      </c>
      <c r="U69" s="272">
        <f t="shared" si="18"/>
        <v>0.73637961335676627</v>
      </c>
      <c r="V69" s="272">
        <f t="shared" si="19"/>
        <v>3.1026252983293555E-2</v>
      </c>
      <c r="W69" s="272">
        <f t="shared" ref="W69:W100" si="25">(I69/F69)*(-1)</f>
        <v>-2.2847100175746926E-2</v>
      </c>
      <c r="X69" s="272">
        <f t="shared" si="20"/>
        <v>0.52564102564102566</v>
      </c>
      <c r="Y69" s="272">
        <f t="shared" si="21"/>
        <v>0.42948717948717946</v>
      </c>
      <c r="Z69" s="272">
        <f t="shared" ref="Z69:Z100" si="26">(M69/J69)*(-1)</f>
        <v>-4.4871794871794872E-2</v>
      </c>
      <c r="AA69" s="272">
        <f t="shared" si="22"/>
        <v>0.35353535353535354</v>
      </c>
      <c r="AB69" s="272">
        <f t="shared" si="23"/>
        <v>0.35353535353535354</v>
      </c>
      <c r="AC69" s="272">
        <f t="shared" ref="AC69:AC100" si="27">(Q69/N69)*(-1)</f>
        <v>-0.29292929292929293</v>
      </c>
    </row>
    <row r="70" spans="1:29">
      <c r="A70" s="122" t="s">
        <v>203</v>
      </c>
      <c r="B70" s="105">
        <v>154000</v>
      </c>
      <c r="C70" s="9">
        <v>65000</v>
      </c>
      <c r="D70" s="9">
        <v>66000</v>
      </c>
      <c r="E70" s="9">
        <v>22000</v>
      </c>
      <c r="F70" s="9">
        <v>46000</v>
      </c>
      <c r="G70" s="9">
        <v>22000</v>
      </c>
      <c r="H70" s="9">
        <v>22000</v>
      </c>
      <c r="I70" s="9">
        <v>1000</v>
      </c>
      <c r="J70" s="9">
        <v>26000</v>
      </c>
      <c r="K70" s="9">
        <v>14000</v>
      </c>
      <c r="L70" s="9">
        <v>10000</v>
      </c>
      <c r="M70" s="13" t="s">
        <v>191</v>
      </c>
      <c r="N70" s="9">
        <v>82000</v>
      </c>
      <c r="O70" s="9">
        <v>29000</v>
      </c>
      <c r="P70" s="9">
        <v>34000</v>
      </c>
      <c r="Q70" s="265">
        <v>19000</v>
      </c>
      <c r="R70" s="272">
        <f t="shared" si="16"/>
        <v>0.42207792207792205</v>
      </c>
      <c r="S70" s="272">
        <f t="shared" si="17"/>
        <v>0.42857142857142855</v>
      </c>
      <c r="T70" s="272">
        <f t="shared" si="24"/>
        <v>-0.14285714285714285</v>
      </c>
      <c r="U70" s="272">
        <f t="shared" si="18"/>
        <v>0.47826086956521741</v>
      </c>
      <c r="V70" s="272">
        <f t="shared" si="19"/>
        <v>4.5454545454545456E-2</v>
      </c>
      <c r="W70" s="272">
        <f t="shared" si="25"/>
        <v>-2.1739130434782608E-2</v>
      </c>
      <c r="X70" s="272">
        <f t="shared" si="20"/>
        <v>0.53846153846153844</v>
      </c>
      <c r="Y70" s="272">
        <f t="shared" si="21"/>
        <v>0.38461538461538464</v>
      </c>
      <c r="Z70" s="272" t="e">
        <f t="shared" si="26"/>
        <v>#VALUE!</v>
      </c>
      <c r="AA70" s="272">
        <f t="shared" si="22"/>
        <v>0.35365853658536583</v>
      </c>
      <c r="AB70" s="272">
        <f t="shared" si="23"/>
        <v>0.41463414634146339</v>
      </c>
      <c r="AC70" s="272">
        <f t="shared" si="27"/>
        <v>-0.23170731707317074</v>
      </c>
    </row>
    <row r="71" spans="1:29">
      <c r="A71" s="122" t="s">
        <v>204</v>
      </c>
      <c r="B71" s="105">
        <v>660000</v>
      </c>
      <c r="C71" s="9">
        <v>334000</v>
      </c>
      <c r="D71" s="9">
        <v>235000</v>
      </c>
      <c r="E71" s="9">
        <v>91000</v>
      </c>
      <c r="F71" s="9">
        <v>372000</v>
      </c>
      <c r="G71" s="9">
        <v>237000</v>
      </c>
      <c r="H71" s="9">
        <v>122000</v>
      </c>
      <c r="I71" s="9">
        <v>13000</v>
      </c>
      <c r="J71" s="9">
        <v>85000</v>
      </c>
      <c r="K71" s="9">
        <v>54000</v>
      </c>
      <c r="L71" s="9">
        <v>27000</v>
      </c>
      <c r="M71" s="9">
        <v>4000</v>
      </c>
      <c r="N71" s="9">
        <v>203000</v>
      </c>
      <c r="O71" s="9">
        <v>43000</v>
      </c>
      <c r="P71" s="9">
        <v>86000</v>
      </c>
      <c r="Q71" s="265">
        <v>74000</v>
      </c>
      <c r="R71" s="272">
        <f t="shared" si="16"/>
        <v>0.5060606060606061</v>
      </c>
      <c r="S71" s="272">
        <f t="shared" si="17"/>
        <v>0.35606060606060608</v>
      </c>
      <c r="T71" s="272">
        <f t="shared" si="24"/>
        <v>-0.13787878787878788</v>
      </c>
      <c r="U71" s="272">
        <f t="shared" si="18"/>
        <v>0.63709677419354838</v>
      </c>
      <c r="V71" s="272">
        <f t="shared" si="19"/>
        <v>5.4852320675105488E-2</v>
      </c>
      <c r="W71" s="272">
        <f t="shared" si="25"/>
        <v>-3.4946236559139782E-2</v>
      </c>
      <c r="X71" s="272">
        <f t="shared" si="20"/>
        <v>0.63529411764705879</v>
      </c>
      <c r="Y71" s="272">
        <f t="shared" si="21"/>
        <v>0.31764705882352939</v>
      </c>
      <c r="Z71" s="272">
        <f t="shared" si="26"/>
        <v>-4.7058823529411764E-2</v>
      </c>
      <c r="AA71" s="272">
        <f t="shared" si="22"/>
        <v>0.21182266009852216</v>
      </c>
      <c r="AB71" s="272">
        <f t="shared" si="23"/>
        <v>0.42364532019704432</v>
      </c>
      <c r="AC71" s="272">
        <f t="shared" si="27"/>
        <v>-0.3645320197044335</v>
      </c>
    </row>
    <row r="72" spans="1:29">
      <c r="A72" s="122" t="s">
        <v>205</v>
      </c>
      <c r="B72" s="105">
        <v>304000</v>
      </c>
      <c r="C72" s="9">
        <v>159000</v>
      </c>
      <c r="D72" s="9">
        <v>92000</v>
      </c>
      <c r="E72" s="9">
        <v>53000</v>
      </c>
      <c r="F72" s="9">
        <v>130000</v>
      </c>
      <c r="G72" s="9">
        <v>84000</v>
      </c>
      <c r="H72" s="9">
        <v>36000</v>
      </c>
      <c r="I72" s="9">
        <v>11000</v>
      </c>
      <c r="J72" s="9">
        <v>52000</v>
      </c>
      <c r="K72" s="9">
        <v>35000</v>
      </c>
      <c r="L72" s="9">
        <v>15000</v>
      </c>
      <c r="M72" s="13" t="s">
        <v>191</v>
      </c>
      <c r="N72" s="9">
        <v>121000</v>
      </c>
      <c r="O72" s="9">
        <v>40000</v>
      </c>
      <c r="P72" s="9">
        <v>41000</v>
      </c>
      <c r="Q72" s="265">
        <v>40000</v>
      </c>
      <c r="R72" s="272">
        <f t="shared" si="16"/>
        <v>0.52302631578947367</v>
      </c>
      <c r="S72" s="272">
        <f t="shared" si="17"/>
        <v>0.30263157894736842</v>
      </c>
      <c r="T72" s="272">
        <f t="shared" si="24"/>
        <v>-0.17434210526315788</v>
      </c>
      <c r="U72" s="272">
        <f t="shared" si="18"/>
        <v>0.64615384615384619</v>
      </c>
      <c r="V72" s="272">
        <f t="shared" si="19"/>
        <v>0.13095238095238096</v>
      </c>
      <c r="W72" s="272">
        <f t="shared" si="25"/>
        <v>-8.461538461538462E-2</v>
      </c>
      <c r="X72" s="272">
        <f t="shared" si="20"/>
        <v>0.67307692307692313</v>
      </c>
      <c r="Y72" s="272">
        <f t="shared" si="21"/>
        <v>0.28846153846153844</v>
      </c>
      <c r="Z72" s="272" t="e">
        <f t="shared" si="26"/>
        <v>#VALUE!</v>
      </c>
      <c r="AA72" s="272">
        <f t="shared" si="22"/>
        <v>0.33057851239669422</v>
      </c>
      <c r="AB72" s="272">
        <f t="shared" si="23"/>
        <v>0.33884297520661155</v>
      </c>
      <c r="AC72" s="272">
        <f t="shared" si="27"/>
        <v>-0.33057851239669422</v>
      </c>
    </row>
    <row r="73" spans="1:29">
      <c r="A73" s="120" t="s">
        <v>206</v>
      </c>
      <c r="B73" s="105">
        <v>3821000</v>
      </c>
      <c r="C73" s="9">
        <v>2652000</v>
      </c>
      <c r="D73" s="9">
        <v>669000</v>
      </c>
      <c r="E73" s="9">
        <v>500000</v>
      </c>
      <c r="F73" s="9">
        <v>203000</v>
      </c>
      <c r="G73" s="9">
        <v>120000</v>
      </c>
      <c r="H73" s="9">
        <v>62000</v>
      </c>
      <c r="I73" s="9">
        <v>21000</v>
      </c>
      <c r="J73" s="9">
        <v>2494000</v>
      </c>
      <c r="K73" s="9">
        <v>2186000</v>
      </c>
      <c r="L73" s="9">
        <v>264000</v>
      </c>
      <c r="M73" s="9">
        <v>45000</v>
      </c>
      <c r="N73" s="9">
        <v>1123000</v>
      </c>
      <c r="O73" s="9">
        <v>346000</v>
      </c>
      <c r="P73" s="9">
        <v>343000</v>
      </c>
      <c r="Q73" s="265">
        <v>433000</v>
      </c>
      <c r="R73" s="272">
        <f t="shared" si="16"/>
        <v>0.69405914682020409</v>
      </c>
      <c r="S73" s="272">
        <f t="shared" si="17"/>
        <v>0.17508505626799267</v>
      </c>
      <c r="T73" s="272">
        <f t="shared" si="24"/>
        <v>-0.13085579691180318</v>
      </c>
      <c r="U73" s="272">
        <f t="shared" si="18"/>
        <v>0.59113300492610843</v>
      </c>
      <c r="V73" s="272">
        <f t="shared" si="19"/>
        <v>0.17499999999999999</v>
      </c>
      <c r="W73" s="272">
        <f t="shared" si="25"/>
        <v>-0.10344827586206896</v>
      </c>
      <c r="X73" s="272">
        <f t="shared" si="20"/>
        <v>0.87650360866078592</v>
      </c>
      <c r="Y73" s="272">
        <f t="shared" si="21"/>
        <v>0.10585404971932638</v>
      </c>
      <c r="Z73" s="272">
        <f t="shared" si="26"/>
        <v>-1.8043303929430633E-2</v>
      </c>
      <c r="AA73" s="272">
        <f t="shared" si="22"/>
        <v>0.30810329474621551</v>
      </c>
      <c r="AB73" s="272">
        <f t="shared" si="23"/>
        <v>0.3054318788958148</v>
      </c>
      <c r="AC73" s="272">
        <f t="shared" si="27"/>
        <v>-0.38557435440783616</v>
      </c>
    </row>
    <row r="74" spans="1:29">
      <c r="A74" s="121" t="s">
        <v>207</v>
      </c>
      <c r="B74" s="105">
        <v>2912000</v>
      </c>
      <c r="C74" s="9">
        <v>2159000</v>
      </c>
      <c r="D74" s="9">
        <v>434000</v>
      </c>
      <c r="E74" s="9">
        <v>318000</v>
      </c>
      <c r="F74" s="9">
        <v>57000</v>
      </c>
      <c r="G74" s="9">
        <v>27000</v>
      </c>
      <c r="H74" s="9">
        <v>19000</v>
      </c>
      <c r="I74" s="9">
        <v>11000</v>
      </c>
      <c r="J74" s="9">
        <v>2187000</v>
      </c>
      <c r="K74" s="9">
        <v>1933000</v>
      </c>
      <c r="L74" s="9">
        <v>220000</v>
      </c>
      <c r="M74" s="9">
        <v>34000</v>
      </c>
      <c r="N74" s="9">
        <v>669000</v>
      </c>
      <c r="O74" s="9">
        <v>200000</v>
      </c>
      <c r="P74" s="9">
        <v>196000</v>
      </c>
      <c r="Q74" s="265">
        <v>273000</v>
      </c>
      <c r="R74" s="272">
        <f t="shared" si="16"/>
        <v>0.7414148351648352</v>
      </c>
      <c r="S74" s="272">
        <f t="shared" si="17"/>
        <v>0.14903846153846154</v>
      </c>
      <c r="T74" s="272">
        <f t="shared" si="24"/>
        <v>-0.1092032967032967</v>
      </c>
      <c r="U74" s="272">
        <f t="shared" si="18"/>
        <v>0.47368421052631576</v>
      </c>
      <c r="V74" s="272">
        <f t="shared" si="19"/>
        <v>0.40740740740740738</v>
      </c>
      <c r="W74" s="272">
        <f t="shared" si="25"/>
        <v>-0.19298245614035087</v>
      </c>
      <c r="X74" s="272">
        <f t="shared" si="20"/>
        <v>0.88385916780978513</v>
      </c>
      <c r="Y74" s="272">
        <f t="shared" si="21"/>
        <v>0.1005944215820759</v>
      </c>
      <c r="Z74" s="272">
        <f t="shared" si="26"/>
        <v>-1.5546410608139003E-2</v>
      </c>
      <c r="AA74" s="272">
        <f t="shared" si="22"/>
        <v>0.29895366218236175</v>
      </c>
      <c r="AB74" s="272">
        <f t="shared" si="23"/>
        <v>0.29297458893871448</v>
      </c>
      <c r="AC74" s="272">
        <f t="shared" si="27"/>
        <v>-0.40807174887892378</v>
      </c>
    </row>
    <row r="75" spans="1:29">
      <c r="A75" s="121" t="s">
        <v>208</v>
      </c>
      <c r="B75" s="107">
        <v>171000</v>
      </c>
      <c r="C75" s="7">
        <v>108000</v>
      </c>
      <c r="D75" s="7">
        <v>30000</v>
      </c>
      <c r="E75" s="7">
        <v>33000</v>
      </c>
      <c r="F75" s="19" t="s">
        <v>191</v>
      </c>
      <c r="G75" s="19" t="s">
        <v>191</v>
      </c>
      <c r="H75" s="19" t="s">
        <v>191</v>
      </c>
      <c r="I75" s="19" t="s">
        <v>220</v>
      </c>
      <c r="J75" s="7">
        <v>90000</v>
      </c>
      <c r="K75" s="7">
        <v>83000</v>
      </c>
      <c r="L75" s="19" t="s">
        <v>191</v>
      </c>
      <c r="M75" s="19" t="s">
        <v>191</v>
      </c>
      <c r="N75" s="7">
        <v>70000</v>
      </c>
      <c r="O75" s="7">
        <v>22000</v>
      </c>
      <c r="P75" s="7">
        <v>17000</v>
      </c>
      <c r="Q75" s="268">
        <v>31000</v>
      </c>
      <c r="R75" s="272">
        <f t="shared" ref="R75:S90" si="28">C75/$B75</f>
        <v>0.63157894736842102</v>
      </c>
      <c r="S75" s="272">
        <f t="shared" si="28"/>
        <v>0.17543859649122806</v>
      </c>
      <c r="T75" s="272">
        <f t="shared" si="24"/>
        <v>-0.19298245614035087</v>
      </c>
      <c r="U75" s="272" t="e">
        <f>G75/$F75</f>
        <v>#VALUE!</v>
      </c>
      <c r="V75" s="272" t="e">
        <f t="shared" ref="V75:V90" si="29">H75/$F75</f>
        <v>#VALUE!</v>
      </c>
      <c r="W75" s="272" t="e">
        <f t="shared" si="25"/>
        <v>#VALUE!</v>
      </c>
      <c r="X75" s="272">
        <f>K75/$J75</f>
        <v>0.92222222222222228</v>
      </c>
      <c r="Y75" s="272" t="e">
        <f t="shared" ref="Y75:Y90" si="30">L75/$J75</f>
        <v>#VALUE!</v>
      </c>
      <c r="Z75" s="272" t="e">
        <f t="shared" si="26"/>
        <v>#VALUE!</v>
      </c>
      <c r="AA75" s="272">
        <f>O75/$N75</f>
        <v>0.31428571428571428</v>
      </c>
      <c r="AB75" s="272">
        <f t="shared" ref="AB75:AB90" si="31">P75/$N75</f>
        <v>0.24285714285714285</v>
      </c>
      <c r="AC75" s="272">
        <f t="shared" si="27"/>
        <v>-0.44285714285714284</v>
      </c>
    </row>
    <row r="76" spans="1:29">
      <c r="A76" s="121" t="s">
        <v>209</v>
      </c>
      <c r="B76" s="105">
        <v>393000</v>
      </c>
      <c r="C76" s="9">
        <v>186000</v>
      </c>
      <c r="D76" s="9">
        <v>122000</v>
      </c>
      <c r="E76" s="9">
        <v>84000</v>
      </c>
      <c r="F76" s="9">
        <v>117000</v>
      </c>
      <c r="G76" s="9">
        <v>79000</v>
      </c>
      <c r="H76" s="9">
        <v>31000</v>
      </c>
      <c r="I76" s="9">
        <v>7000</v>
      </c>
      <c r="J76" s="9">
        <v>77000</v>
      </c>
      <c r="K76" s="9">
        <v>40000</v>
      </c>
      <c r="L76" s="9">
        <v>27000</v>
      </c>
      <c r="M76" s="13" t="s">
        <v>191</v>
      </c>
      <c r="N76" s="9">
        <v>198000</v>
      </c>
      <c r="O76" s="9">
        <v>67000</v>
      </c>
      <c r="P76" s="9">
        <v>64000</v>
      </c>
      <c r="Q76" s="265">
        <v>67000</v>
      </c>
      <c r="R76" s="272">
        <f t="shared" si="28"/>
        <v>0.47328244274809161</v>
      </c>
      <c r="S76" s="272">
        <f t="shared" si="28"/>
        <v>0.31043256997455471</v>
      </c>
      <c r="T76" s="272">
        <f t="shared" si="24"/>
        <v>-0.21374045801526717</v>
      </c>
      <c r="U76" s="272">
        <f>G76/$F76</f>
        <v>0.67521367521367526</v>
      </c>
      <c r="V76" s="272">
        <f t="shared" si="29"/>
        <v>0.26495726495726496</v>
      </c>
      <c r="W76" s="272">
        <f t="shared" si="25"/>
        <v>-5.9829059829059832E-2</v>
      </c>
      <c r="X76" s="272">
        <f t="shared" ref="X76:Y91" si="32">K76/$J76</f>
        <v>0.51948051948051943</v>
      </c>
      <c r="Y76" s="272">
        <f t="shared" si="30"/>
        <v>0.35064935064935066</v>
      </c>
      <c r="Z76" s="272" t="e">
        <f t="shared" si="26"/>
        <v>#VALUE!</v>
      </c>
      <c r="AA76" s="272">
        <f t="shared" ref="AA76:AB91" si="33">O76/$N76</f>
        <v>0.3383838383838384</v>
      </c>
      <c r="AB76" s="272">
        <f t="shared" si="31"/>
        <v>0.32323232323232326</v>
      </c>
      <c r="AC76" s="272">
        <f t="shared" si="27"/>
        <v>-0.3383838383838384</v>
      </c>
    </row>
    <row r="77" spans="1:29">
      <c r="A77" s="121" t="s">
        <v>210</v>
      </c>
      <c r="B77" s="105">
        <v>344000</v>
      </c>
      <c r="C77" s="9">
        <v>198000</v>
      </c>
      <c r="D77" s="9">
        <v>82000</v>
      </c>
      <c r="E77" s="9">
        <v>64000</v>
      </c>
      <c r="F77" s="9">
        <v>18000</v>
      </c>
      <c r="G77" s="9">
        <v>12000</v>
      </c>
      <c r="H77" s="9">
        <v>4000</v>
      </c>
      <c r="I77" s="9">
        <v>2000</v>
      </c>
      <c r="J77" s="9">
        <v>141000</v>
      </c>
      <c r="K77" s="9">
        <v>129000</v>
      </c>
      <c r="L77" s="9">
        <v>11000</v>
      </c>
      <c r="M77" s="13" t="s">
        <v>220</v>
      </c>
      <c r="N77" s="9">
        <v>186000</v>
      </c>
      <c r="O77" s="9">
        <v>57000</v>
      </c>
      <c r="P77" s="9">
        <v>67000</v>
      </c>
      <c r="Q77" s="265">
        <v>62000</v>
      </c>
      <c r="R77" s="272">
        <f t="shared" si="28"/>
        <v>0.57558139534883723</v>
      </c>
      <c r="S77" s="272">
        <f t="shared" si="28"/>
        <v>0.23837209302325582</v>
      </c>
      <c r="T77" s="272">
        <f t="shared" si="24"/>
        <v>-0.18604651162790697</v>
      </c>
      <c r="U77" s="272">
        <f>G77/$F77</f>
        <v>0.66666666666666663</v>
      </c>
      <c r="V77" s="272">
        <f t="shared" si="29"/>
        <v>0.22222222222222221</v>
      </c>
      <c r="W77" s="272">
        <f t="shared" si="25"/>
        <v>-0.1111111111111111</v>
      </c>
      <c r="X77" s="272">
        <f t="shared" si="32"/>
        <v>0.91489361702127658</v>
      </c>
      <c r="Y77" s="272">
        <f t="shared" si="30"/>
        <v>7.8014184397163122E-2</v>
      </c>
      <c r="Z77" s="272" t="e">
        <f t="shared" si="26"/>
        <v>#VALUE!</v>
      </c>
      <c r="AA77" s="272">
        <f t="shared" si="33"/>
        <v>0.30645161290322581</v>
      </c>
      <c r="AB77" s="272">
        <f t="shared" si="31"/>
        <v>0.36021505376344087</v>
      </c>
      <c r="AC77" s="272">
        <f t="shared" si="27"/>
        <v>-0.33333333333333331</v>
      </c>
    </row>
    <row r="78" spans="1:29">
      <c r="A78" s="120" t="s">
        <v>211</v>
      </c>
      <c r="B78" s="105">
        <v>16491000</v>
      </c>
      <c r="C78" s="9">
        <v>6543000</v>
      </c>
      <c r="D78" s="9">
        <v>5344000</v>
      </c>
      <c r="E78" s="9">
        <v>4604000</v>
      </c>
      <c r="F78" s="9">
        <v>736000</v>
      </c>
      <c r="G78" s="9">
        <v>216000</v>
      </c>
      <c r="H78" s="9">
        <v>247000</v>
      </c>
      <c r="I78" s="9">
        <v>273000</v>
      </c>
      <c r="J78" s="9">
        <v>845000</v>
      </c>
      <c r="K78" s="9">
        <v>294000</v>
      </c>
      <c r="L78" s="9">
        <v>202000</v>
      </c>
      <c r="M78" s="9">
        <v>349000</v>
      </c>
      <c r="N78" s="9">
        <v>14909000</v>
      </c>
      <c r="O78" s="9">
        <v>6032000</v>
      </c>
      <c r="P78" s="9">
        <v>4896000</v>
      </c>
      <c r="Q78" s="265">
        <v>3981000</v>
      </c>
      <c r="R78" s="272">
        <f t="shared" si="28"/>
        <v>0.39676187011096964</v>
      </c>
      <c r="S78" s="272">
        <f t="shared" si="28"/>
        <v>0.32405554544903281</v>
      </c>
      <c r="T78" s="272">
        <f t="shared" si="24"/>
        <v>-0.27918258443999755</v>
      </c>
      <c r="U78" s="272">
        <f t="shared" ref="U78:V109" si="34">G78/$F78</f>
        <v>0.29347826086956524</v>
      </c>
      <c r="V78" s="272">
        <f t="shared" si="29"/>
        <v>0.33559782608695654</v>
      </c>
      <c r="W78" s="272">
        <f t="shared" si="25"/>
        <v>-0.37092391304347827</v>
      </c>
      <c r="X78" s="272">
        <f t="shared" si="32"/>
        <v>0.34792899408284023</v>
      </c>
      <c r="Y78" s="272">
        <f t="shared" si="30"/>
        <v>0.23905325443786982</v>
      </c>
      <c r="Z78" s="272">
        <f t="shared" si="26"/>
        <v>-0.41301775147928993</v>
      </c>
      <c r="AA78" s="272">
        <f t="shared" si="33"/>
        <v>0.40458783285263933</v>
      </c>
      <c r="AB78" s="272">
        <f t="shared" si="31"/>
        <v>0.32839224629418473</v>
      </c>
      <c r="AC78" s="272">
        <f t="shared" si="27"/>
        <v>-0.26701992085317594</v>
      </c>
    </row>
    <row r="79" spans="1:29">
      <c r="A79" s="121" t="s">
        <v>212</v>
      </c>
      <c r="B79" s="105">
        <v>6113000</v>
      </c>
      <c r="C79" s="9">
        <v>2576000</v>
      </c>
      <c r="D79" s="9">
        <v>2340000</v>
      </c>
      <c r="E79" s="9">
        <v>1197000</v>
      </c>
      <c r="F79" s="9">
        <v>292000</v>
      </c>
      <c r="G79" s="9">
        <v>109000</v>
      </c>
      <c r="H79" s="9">
        <v>128000</v>
      </c>
      <c r="I79" s="9">
        <v>55000</v>
      </c>
      <c r="J79" s="9">
        <v>263000</v>
      </c>
      <c r="K79" s="9">
        <v>75000</v>
      </c>
      <c r="L79" s="9">
        <v>86000</v>
      </c>
      <c r="M79" s="9">
        <v>102000</v>
      </c>
      <c r="N79" s="9">
        <v>5558000</v>
      </c>
      <c r="O79" s="9">
        <v>2392000</v>
      </c>
      <c r="P79" s="9">
        <v>2126000</v>
      </c>
      <c r="Q79" s="265">
        <v>1039000</v>
      </c>
      <c r="R79" s="272">
        <f t="shared" si="28"/>
        <v>0.42139702273842633</v>
      </c>
      <c r="S79" s="272">
        <f t="shared" si="28"/>
        <v>0.38279077376083753</v>
      </c>
      <c r="T79" s="272">
        <f t="shared" si="24"/>
        <v>-0.19581220350073614</v>
      </c>
      <c r="U79" s="272">
        <f t="shared" si="34"/>
        <v>0.37328767123287671</v>
      </c>
      <c r="V79" s="272">
        <f t="shared" si="29"/>
        <v>0.43835616438356162</v>
      </c>
      <c r="W79" s="272">
        <f t="shared" si="25"/>
        <v>-0.18835616438356165</v>
      </c>
      <c r="X79" s="272">
        <f t="shared" si="32"/>
        <v>0.28517110266159695</v>
      </c>
      <c r="Y79" s="272">
        <f t="shared" si="30"/>
        <v>0.3269961977186312</v>
      </c>
      <c r="Z79" s="272">
        <f t="shared" si="26"/>
        <v>-0.38783269961977185</v>
      </c>
      <c r="AA79" s="272">
        <f t="shared" si="33"/>
        <v>0.4303706369197553</v>
      </c>
      <c r="AB79" s="272">
        <f t="shared" si="31"/>
        <v>0.38251169485426412</v>
      </c>
      <c r="AC79" s="272">
        <f t="shared" si="27"/>
        <v>-0.18693774739114791</v>
      </c>
    </row>
    <row r="80" spans="1:29">
      <c r="A80" s="121" t="s">
        <v>213</v>
      </c>
      <c r="B80" s="105">
        <v>1960000</v>
      </c>
      <c r="C80" s="9">
        <v>1164000</v>
      </c>
      <c r="D80" s="9">
        <v>291000</v>
      </c>
      <c r="E80" s="9">
        <v>506000</v>
      </c>
      <c r="F80" s="9">
        <v>32000</v>
      </c>
      <c r="G80" s="9">
        <v>14000</v>
      </c>
      <c r="H80" s="9">
        <v>5000</v>
      </c>
      <c r="I80" s="9">
        <v>13000</v>
      </c>
      <c r="J80" s="9">
        <v>140000</v>
      </c>
      <c r="K80" s="9">
        <v>64000</v>
      </c>
      <c r="L80" s="9">
        <v>32000</v>
      </c>
      <c r="M80" s="9">
        <v>44000</v>
      </c>
      <c r="N80" s="9">
        <v>1788000</v>
      </c>
      <c r="O80" s="9">
        <v>1086000</v>
      </c>
      <c r="P80" s="9">
        <v>253000</v>
      </c>
      <c r="Q80" s="265">
        <v>449000</v>
      </c>
      <c r="R80" s="272">
        <f t="shared" si="28"/>
        <v>0.59387755102040818</v>
      </c>
      <c r="S80" s="272">
        <f t="shared" si="28"/>
        <v>0.14846938775510204</v>
      </c>
      <c r="T80" s="272">
        <f t="shared" si="24"/>
        <v>-0.25816326530612244</v>
      </c>
      <c r="U80" s="272">
        <f t="shared" si="34"/>
        <v>0.4375</v>
      </c>
      <c r="V80" s="272">
        <f t="shared" si="29"/>
        <v>0.15625</v>
      </c>
      <c r="W80" s="272">
        <f t="shared" si="25"/>
        <v>-0.40625</v>
      </c>
      <c r="X80" s="272">
        <f t="shared" si="32"/>
        <v>0.45714285714285713</v>
      </c>
      <c r="Y80" s="272">
        <f t="shared" si="30"/>
        <v>0.22857142857142856</v>
      </c>
      <c r="Z80" s="272">
        <f t="shared" si="26"/>
        <v>-0.31428571428571428</v>
      </c>
      <c r="AA80" s="272">
        <f t="shared" si="33"/>
        <v>0.60738255033557043</v>
      </c>
      <c r="AB80" s="272">
        <f t="shared" si="31"/>
        <v>0.14149888143176734</v>
      </c>
      <c r="AC80" s="272">
        <f t="shared" si="27"/>
        <v>-0.25111856823266221</v>
      </c>
    </row>
    <row r="81" spans="1:29">
      <c r="A81" s="121" t="s">
        <v>214</v>
      </c>
      <c r="B81" s="105">
        <v>542000</v>
      </c>
      <c r="C81" s="9">
        <v>220000</v>
      </c>
      <c r="D81" s="9">
        <v>112000</v>
      </c>
      <c r="E81" s="9">
        <v>211000</v>
      </c>
      <c r="F81" s="9">
        <v>26000</v>
      </c>
      <c r="G81" s="9">
        <v>8000</v>
      </c>
      <c r="H81" s="13" t="s">
        <v>220</v>
      </c>
      <c r="I81" s="9">
        <v>15000</v>
      </c>
      <c r="J81" s="9">
        <v>18000</v>
      </c>
      <c r="K81" s="13" t="s">
        <v>191</v>
      </c>
      <c r="L81" s="13" t="s">
        <v>191</v>
      </c>
      <c r="M81" s="9">
        <v>11000</v>
      </c>
      <c r="N81" s="9">
        <v>498000</v>
      </c>
      <c r="O81" s="9">
        <v>207000</v>
      </c>
      <c r="P81" s="9">
        <v>106000</v>
      </c>
      <c r="Q81" s="265">
        <v>185000</v>
      </c>
      <c r="R81" s="272">
        <f t="shared" si="28"/>
        <v>0.4059040590405904</v>
      </c>
      <c r="S81" s="272">
        <f t="shared" si="28"/>
        <v>0.20664206642066421</v>
      </c>
      <c r="T81" s="272">
        <f t="shared" si="24"/>
        <v>-0.38929889298892989</v>
      </c>
      <c r="U81" s="272">
        <f t="shared" si="34"/>
        <v>0.30769230769230771</v>
      </c>
      <c r="V81" s="272" t="e">
        <f t="shared" si="29"/>
        <v>#VALUE!</v>
      </c>
      <c r="W81" s="272">
        <f t="shared" si="25"/>
        <v>-0.57692307692307687</v>
      </c>
      <c r="X81" s="272" t="e">
        <f t="shared" si="32"/>
        <v>#VALUE!</v>
      </c>
      <c r="Y81" s="272" t="e">
        <f t="shared" si="30"/>
        <v>#VALUE!</v>
      </c>
      <c r="Z81" s="272">
        <f t="shared" si="26"/>
        <v>-0.61111111111111116</v>
      </c>
      <c r="AA81" s="272">
        <f t="shared" si="33"/>
        <v>0.41566265060240964</v>
      </c>
      <c r="AB81" s="272">
        <f t="shared" si="31"/>
        <v>0.21285140562248997</v>
      </c>
      <c r="AC81" s="272">
        <f t="shared" si="27"/>
        <v>-0.37148594377510041</v>
      </c>
    </row>
    <row r="82" spans="1:29">
      <c r="A82" s="121" t="s">
        <v>215</v>
      </c>
      <c r="B82" s="105">
        <v>1078000</v>
      </c>
      <c r="C82" s="9">
        <v>337000</v>
      </c>
      <c r="D82" s="9">
        <v>526000</v>
      </c>
      <c r="E82" s="9">
        <v>215000</v>
      </c>
      <c r="F82" s="9">
        <v>44000</v>
      </c>
      <c r="G82" s="9">
        <v>10000</v>
      </c>
      <c r="H82" s="9">
        <v>24000</v>
      </c>
      <c r="I82" s="9">
        <v>9000</v>
      </c>
      <c r="J82" s="9">
        <v>51000</v>
      </c>
      <c r="K82" s="13" t="s">
        <v>220</v>
      </c>
      <c r="L82" s="13" t="s">
        <v>191</v>
      </c>
      <c r="M82" s="9">
        <v>40000</v>
      </c>
      <c r="N82" s="9">
        <v>982000</v>
      </c>
      <c r="O82" s="9">
        <v>324000</v>
      </c>
      <c r="P82" s="9">
        <v>494000</v>
      </c>
      <c r="Q82" s="265">
        <v>165000</v>
      </c>
      <c r="R82" s="272">
        <f t="shared" si="28"/>
        <v>0.31261595547309834</v>
      </c>
      <c r="S82" s="272">
        <f t="shared" si="28"/>
        <v>0.48794063079777367</v>
      </c>
      <c r="T82" s="272">
        <f t="shared" si="24"/>
        <v>-0.19944341372912802</v>
      </c>
      <c r="U82" s="272">
        <f t="shared" si="34"/>
        <v>0.22727272727272727</v>
      </c>
      <c r="V82" s="272">
        <f t="shared" si="29"/>
        <v>0.54545454545454541</v>
      </c>
      <c r="W82" s="272">
        <f t="shared" si="25"/>
        <v>-0.20454545454545456</v>
      </c>
      <c r="X82" s="272" t="e">
        <f t="shared" si="32"/>
        <v>#VALUE!</v>
      </c>
      <c r="Y82" s="272" t="e">
        <f t="shared" si="30"/>
        <v>#VALUE!</v>
      </c>
      <c r="Z82" s="272">
        <f t="shared" si="26"/>
        <v>-0.78431372549019607</v>
      </c>
      <c r="AA82" s="272">
        <f t="shared" si="33"/>
        <v>0.32993890020366601</v>
      </c>
      <c r="AB82" s="272">
        <f t="shared" si="31"/>
        <v>0.5030549898167006</v>
      </c>
      <c r="AC82" s="272">
        <f t="shared" si="27"/>
        <v>-0.16802443991853361</v>
      </c>
    </row>
    <row r="83" spans="1:29">
      <c r="A83" s="121" t="s">
        <v>216</v>
      </c>
      <c r="B83" s="105">
        <v>3626000</v>
      </c>
      <c r="C83" s="9">
        <v>1031000</v>
      </c>
      <c r="D83" s="9">
        <v>1008000</v>
      </c>
      <c r="E83" s="9">
        <v>1587000</v>
      </c>
      <c r="F83" s="9">
        <v>231000</v>
      </c>
      <c r="G83" s="9">
        <v>43000</v>
      </c>
      <c r="H83" s="9">
        <v>53000</v>
      </c>
      <c r="I83" s="9">
        <v>135000</v>
      </c>
      <c r="J83" s="9">
        <v>251000</v>
      </c>
      <c r="K83" s="9">
        <v>102000</v>
      </c>
      <c r="L83" s="9">
        <v>38000</v>
      </c>
      <c r="M83" s="9">
        <v>110000</v>
      </c>
      <c r="N83" s="9">
        <v>3145000</v>
      </c>
      <c r="O83" s="9">
        <v>886000</v>
      </c>
      <c r="P83" s="9">
        <v>917000</v>
      </c>
      <c r="Q83" s="265">
        <v>1342000</v>
      </c>
      <c r="R83" s="272">
        <f t="shared" si="28"/>
        <v>0.28433535576392721</v>
      </c>
      <c r="S83" s="272">
        <f t="shared" si="28"/>
        <v>0.27799227799227799</v>
      </c>
      <c r="T83" s="272">
        <f t="shared" si="24"/>
        <v>-0.4376723662437948</v>
      </c>
      <c r="U83" s="272">
        <f t="shared" si="34"/>
        <v>0.18614718614718614</v>
      </c>
      <c r="V83" s="272">
        <f t="shared" si="29"/>
        <v>0.22943722943722944</v>
      </c>
      <c r="W83" s="272">
        <f t="shared" si="25"/>
        <v>-0.58441558441558439</v>
      </c>
      <c r="X83" s="272">
        <f t="shared" si="32"/>
        <v>0.4063745019920319</v>
      </c>
      <c r="Y83" s="272">
        <f t="shared" si="30"/>
        <v>0.15139442231075698</v>
      </c>
      <c r="Z83" s="272">
        <f t="shared" si="26"/>
        <v>-0.43824701195219123</v>
      </c>
      <c r="AA83" s="272">
        <f t="shared" si="33"/>
        <v>0.28171701112877584</v>
      </c>
      <c r="AB83" s="272">
        <f t="shared" si="31"/>
        <v>0.29157392686804451</v>
      </c>
      <c r="AC83" s="272">
        <f t="shared" si="27"/>
        <v>-0.42670906200317965</v>
      </c>
    </row>
    <row r="84" spans="1:29">
      <c r="A84" s="121" t="s">
        <v>217</v>
      </c>
      <c r="B84" s="105">
        <v>3172000</v>
      </c>
      <c r="C84" s="9">
        <v>1214000</v>
      </c>
      <c r="D84" s="9">
        <v>1068000</v>
      </c>
      <c r="E84" s="9">
        <v>889000</v>
      </c>
      <c r="F84" s="9">
        <v>112000</v>
      </c>
      <c r="G84" s="9">
        <v>32000</v>
      </c>
      <c r="H84" s="9">
        <v>34000</v>
      </c>
      <c r="I84" s="9">
        <v>46000</v>
      </c>
      <c r="J84" s="9">
        <v>122000</v>
      </c>
      <c r="K84" s="9">
        <v>45000</v>
      </c>
      <c r="L84" s="9">
        <v>35000</v>
      </c>
      <c r="M84" s="9">
        <v>42000</v>
      </c>
      <c r="N84" s="9">
        <v>2938000</v>
      </c>
      <c r="O84" s="9">
        <v>1137000</v>
      </c>
      <c r="P84" s="9">
        <v>999000</v>
      </c>
      <c r="Q84" s="265">
        <v>801000</v>
      </c>
      <c r="R84" s="272">
        <f t="shared" si="28"/>
        <v>0.3827238335435057</v>
      </c>
      <c r="S84" s="272">
        <f t="shared" si="28"/>
        <v>0.33669609079445145</v>
      </c>
      <c r="T84" s="272">
        <f t="shared" si="24"/>
        <v>-0.28026481715006307</v>
      </c>
      <c r="U84" s="272">
        <f t="shared" si="34"/>
        <v>0.2857142857142857</v>
      </c>
      <c r="V84" s="272">
        <f t="shared" si="29"/>
        <v>0.30357142857142855</v>
      </c>
      <c r="W84" s="272">
        <f t="shared" si="25"/>
        <v>-0.4107142857142857</v>
      </c>
      <c r="X84" s="272">
        <f t="shared" si="32"/>
        <v>0.36885245901639346</v>
      </c>
      <c r="Y84" s="272">
        <f t="shared" si="30"/>
        <v>0.28688524590163933</v>
      </c>
      <c r="Z84" s="272">
        <f t="shared" si="26"/>
        <v>-0.34426229508196721</v>
      </c>
      <c r="AA84" s="272">
        <f t="shared" si="33"/>
        <v>0.38699795779441798</v>
      </c>
      <c r="AB84" s="272">
        <f t="shared" si="31"/>
        <v>0.34002722940776037</v>
      </c>
      <c r="AC84" s="272">
        <f t="shared" si="27"/>
        <v>-0.27263444520081687</v>
      </c>
    </row>
    <row r="85" spans="1:29">
      <c r="A85" s="114" t="s">
        <v>219</v>
      </c>
      <c r="B85" s="144">
        <v>14688000</v>
      </c>
      <c r="C85" s="143">
        <v>9660000</v>
      </c>
      <c r="D85" s="143">
        <v>3328000</v>
      </c>
      <c r="E85" s="143">
        <v>1700000</v>
      </c>
      <c r="F85" s="143">
        <v>2411000</v>
      </c>
      <c r="G85" s="143">
        <v>1671000</v>
      </c>
      <c r="H85" s="143">
        <v>575000</v>
      </c>
      <c r="I85" s="143">
        <v>164000</v>
      </c>
      <c r="J85" s="143">
        <v>2578000</v>
      </c>
      <c r="K85" s="143">
        <v>1972000</v>
      </c>
      <c r="L85" s="143">
        <v>437000</v>
      </c>
      <c r="M85" s="143">
        <v>169000</v>
      </c>
      <c r="N85" s="143">
        <v>9699000</v>
      </c>
      <c r="O85" s="143">
        <v>6017000</v>
      </c>
      <c r="P85" s="143">
        <v>2315000</v>
      </c>
      <c r="Q85" s="273">
        <v>1367000</v>
      </c>
      <c r="R85" s="272">
        <f t="shared" si="28"/>
        <v>0.6576797385620915</v>
      </c>
      <c r="S85" s="272">
        <f t="shared" si="28"/>
        <v>0.22657952069716775</v>
      </c>
      <c r="T85" s="272">
        <f t="shared" si="24"/>
        <v>-0.11574074074074074</v>
      </c>
      <c r="U85" s="272">
        <f t="shared" si="34"/>
        <v>0.69307341352136043</v>
      </c>
      <c r="V85" s="272">
        <f t="shared" si="29"/>
        <v>0.23849025300705101</v>
      </c>
      <c r="W85" s="272">
        <f t="shared" si="25"/>
        <v>-6.8021567814184988E-2</v>
      </c>
      <c r="X85" s="272">
        <f t="shared" si="32"/>
        <v>0.76493405740884401</v>
      </c>
      <c r="Y85" s="272">
        <f t="shared" si="30"/>
        <v>0.16951124903025602</v>
      </c>
      <c r="Z85" s="272">
        <f t="shared" si="26"/>
        <v>-6.5554693560899921E-2</v>
      </c>
      <c r="AA85" s="272">
        <f t="shared" si="33"/>
        <v>0.62037323435405711</v>
      </c>
      <c r="AB85" s="272">
        <f t="shared" si="31"/>
        <v>0.23868440045365502</v>
      </c>
      <c r="AC85" s="272">
        <f t="shared" si="27"/>
        <v>-0.14094236519228787</v>
      </c>
    </row>
    <row r="86" spans="1:29">
      <c r="A86" s="115" t="s">
        <v>178</v>
      </c>
      <c r="B86" s="105">
        <v>3680000</v>
      </c>
      <c r="C86" s="9">
        <v>2381000</v>
      </c>
      <c r="D86" s="9">
        <v>919000</v>
      </c>
      <c r="E86" s="9">
        <v>380000</v>
      </c>
      <c r="F86" s="9">
        <v>1671000</v>
      </c>
      <c r="G86" s="9">
        <v>1287000</v>
      </c>
      <c r="H86" s="9">
        <v>329000</v>
      </c>
      <c r="I86" s="9">
        <v>55000</v>
      </c>
      <c r="J86" s="9">
        <v>552000</v>
      </c>
      <c r="K86" s="9">
        <v>373000</v>
      </c>
      <c r="L86" s="9">
        <v>136000</v>
      </c>
      <c r="M86" s="9">
        <v>43000</v>
      </c>
      <c r="N86" s="9">
        <v>1457000</v>
      </c>
      <c r="O86" s="9">
        <v>722000</v>
      </c>
      <c r="P86" s="9">
        <v>454000</v>
      </c>
      <c r="Q86" s="265">
        <v>282000</v>
      </c>
      <c r="R86" s="272">
        <f t="shared" si="28"/>
        <v>0.64701086956521736</v>
      </c>
      <c r="S86" s="272">
        <f t="shared" si="28"/>
        <v>0.24972826086956521</v>
      </c>
      <c r="T86" s="272">
        <f t="shared" si="24"/>
        <v>-0.10326086956521739</v>
      </c>
      <c r="U86" s="272">
        <f t="shared" si="34"/>
        <v>0.77019748653500897</v>
      </c>
      <c r="V86" s="272">
        <f t="shared" si="29"/>
        <v>0.19688809096349491</v>
      </c>
      <c r="W86" s="272">
        <f t="shared" si="25"/>
        <v>-3.2914422501496107E-2</v>
      </c>
      <c r="X86" s="272">
        <f t="shared" si="32"/>
        <v>0.67572463768115942</v>
      </c>
      <c r="Y86" s="272">
        <f t="shared" si="30"/>
        <v>0.24637681159420291</v>
      </c>
      <c r="Z86" s="272">
        <f t="shared" si="26"/>
        <v>-7.789855072463768E-2</v>
      </c>
      <c r="AA86" s="272">
        <f t="shared" si="33"/>
        <v>0.4955387783115992</v>
      </c>
      <c r="AB86" s="272">
        <f t="shared" si="31"/>
        <v>0.31159917638984214</v>
      </c>
      <c r="AC86" s="272">
        <f t="shared" si="27"/>
        <v>-0.19354838709677419</v>
      </c>
    </row>
    <row r="87" spans="1:29">
      <c r="A87" s="116" t="s">
        <v>179</v>
      </c>
      <c r="B87" s="105">
        <v>417000</v>
      </c>
      <c r="C87" s="9">
        <v>251000</v>
      </c>
      <c r="D87" s="9">
        <v>107000</v>
      </c>
      <c r="E87" s="9">
        <v>59000</v>
      </c>
      <c r="F87" s="9">
        <v>157000</v>
      </c>
      <c r="G87" s="9">
        <v>125000</v>
      </c>
      <c r="H87" s="9">
        <v>27000</v>
      </c>
      <c r="I87" s="9">
        <v>6000</v>
      </c>
      <c r="J87" s="9">
        <v>104000</v>
      </c>
      <c r="K87" s="9">
        <v>75000</v>
      </c>
      <c r="L87" s="9">
        <v>23000</v>
      </c>
      <c r="M87" s="9">
        <v>5000</v>
      </c>
      <c r="N87" s="9">
        <v>157000</v>
      </c>
      <c r="O87" s="9">
        <v>51000</v>
      </c>
      <c r="P87" s="9">
        <v>57000</v>
      </c>
      <c r="Q87" s="265">
        <v>48000</v>
      </c>
      <c r="R87" s="272">
        <f t="shared" si="28"/>
        <v>0.60191846522781778</v>
      </c>
      <c r="S87" s="272">
        <f t="shared" si="28"/>
        <v>0.25659472422062352</v>
      </c>
      <c r="T87" s="272">
        <f t="shared" si="24"/>
        <v>-0.14148681055155876</v>
      </c>
      <c r="U87" s="272">
        <f t="shared" si="34"/>
        <v>0.79617834394904463</v>
      </c>
      <c r="V87" s="272">
        <f t="shared" si="29"/>
        <v>0.17197452229299362</v>
      </c>
      <c r="W87" s="272">
        <f t="shared" si="25"/>
        <v>-3.8216560509554139E-2</v>
      </c>
      <c r="X87" s="272">
        <f t="shared" si="32"/>
        <v>0.72115384615384615</v>
      </c>
      <c r="Y87" s="272">
        <f t="shared" si="30"/>
        <v>0.22115384615384615</v>
      </c>
      <c r="Z87" s="272">
        <f t="shared" si="26"/>
        <v>-4.807692307692308E-2</v>
      </c>
      <c r="AA87" s="272">
        <f t="shared" si="33"/>
        <v>0.32484076433121017</v>
      </c>
      <c r="AB87" s="272">
        <f t="shared" si="31"/>
        <v>0.36305732484076431</v>
      </c>
      <c r="AC87" s="272">
        <f t="shared" si="27"/>
        <v>-0.30573248407643311</v>
      </c>
    </row>
    <row r="88" spans="1:29">
      <c r="A88" s="117" t="s">
        <v>180</v>
      </c>
      <c r="B88" s="105">
        <v>46000</v>
      </c>
      <c r="C88" s="9">
        <v>31000</v>
      </c>
      <c r="D88" s="9">
        <v>8000</v>
      </c>
      <c r="E88" s="9">
        <v>7000</v>
      </c>
      <c r="F88" s="9">
        <v>20000</v>
      </c>
      <c r="G88" s="9">
        <v>18000</v>
      </c>
      <c r="H88" s="9">
        <v>3000</v>
      </c>
      <c r="I88" s="13" t="s">
        <v>220</v>
      </c>
      <c r="J88" s="9">
        <v>6000</v>
      </c>
      <c r="K88" s="13" t="s">
        <v>191</v>
      </c>
      <c r="L88" s="13" t="s">
        <v>191</v>
      </c>
      <c r="M88" s="13" t="s">
        <v>191</v>
      </c>
      <c r="N88" s="9">
        <v>20000</v>
      </c>
      <c r="O88" s="9">
        <v>11000</v>
      </c>
      <c r="P88" s="9">
        <v>4000</v>
      </c>
      <c r="Q88" s="265">
        <v>5000</v>
      </c>
      <c r="R88" s="272">
        <f t="shared" si="28"/>
        <v>0.67391304347826086</v>
      </c>
      <c r="S88" s="272">
        <f t="shared" si="28"/>
        <v>0.17391304347826086</v>
      </c>
      <c r="T88" s="272">
        <f t="shared" si="24"/>
        <v>-0.15217391304347827</v>
      </c>
      <c r="U88" s="272">
        <f t="shared" si="34"/>
        <v>0.9</v>
      </c>
      <c r="V88" s="272">
        <f t="shared" si="29"/>
        <v>0.15</v>
      </c>
      <c r="W88" s="272" t="e">
        <f t="shared" si="25"/>
        <v>#VALUE!</v>
      </c>
      <c r="X88" s="272" t="e">
        <f t="shared" si="32"/>
        <v>#VALUE!</v>
      </c>
      <c r="Y88" s="272" t="e">
        <f t="shared" si="30"/>
        <v>#VALUE!</v>
      </c>
      <c r="Z88" s="272" t="e">
        <f t="shared" si="26"/>
        <v>#VALUE!</v>
      </c>
      <c r="AA88" s="272">
        <f t="shared" si="33"/>
        <v>0.55000000000000004</v>
      </c>
      <c r="AB88" s="272">
        <f t="shared" si="31"/>
        <v>0.2</v>
      </c>
      <c r="AC88" s="272">
        <f t="shared" si="27"/>
        <v>-0.25</v>
      </c>
    </row>
    <row r="89" spans="1:29">
      <c r="A89" s="117" t="s">
        <v>181</v>
      </c>
      <c r="B89" s="105">
        <v>286000</v>
      </c>
      <c r="C89" s="9">
        <v>165000</v>
      </c>
      <c r="D89" s="9">
        <v>76000</v>
      </c>
      <c r="E89" s="9">
        <v>45000</v>
      </c>
      <c r="F89" s="9">
        <v>107000</v>
      </c>
      <c r="G89" s="9">
        <v>82000</v>
      </c>
      <c r="H89" s="9">
        <v>21000</v>
      </c>
      <c r="I89" s="9">
        <v>5000</v>
      </c>
      <c r="J89" s="9">
        <v>85000</v>
      </c>
      <c r="K89" s="9">
        <v>66000</v>
      </c>
      <c r="L89" s="9">
        <v>17000</v>
      </c>
      <c r="M89" s="9">
        <v>2000</v>
      </c>
      <c r="N89" s="9">
        <v>93000</v>
      </c>
      <c r="O89" s="9">
        <v>17000</v>
      </c>
      <c r="P89" s="9">
        <v>39000</v>
      </c>
      <c r="Q89" s="265">
        <v>38000</v>
      </c>
      <c r="R89" s="272">
        <f t="shared" si="28"/>
        <v>0.57692307692307687</v>
      </c>
      <c r="S89" s="272">
        <f t="shared" si="28"/>
        <v>0.26573426573426573</v>
      </c>
      <c r="T89" s="272">
        <f t="shared" si="24"/>
        <v>-0.15734265734265734</v>
      </c>
      <c r="U89" s="272">
        <f t="shared" si="34"/>
        <v>0.76635514018691586</v>
      </c>
      <c r="V89" s="272">
        <f t="shared" si="29"/>
        <v>0.19626168224299065</v>
      </c>
      <c r="W89" s="272">
        <f t="shared" si="25"/>
        <v>-4.6728971962616821E-2</v>
      </c>
      <c r="X89" s="272">
        <f t="shared" si="32"/>
        <v>0.77647058823529413</v>
      </c>
      <c r="Y89" s="272">
        <f t="shared" si="30"/>
        <v>0.2</v>
      </c>
      <c r="Z89" s="272">
        <f t="shared" si="26"/>
        <v>-2.3529411764705882E-2</v>
      </c>
      <c r="AA89" s="272">
        <f t="shared" si="33"/>
        <v>0.18279569892473119</v>
      </c>
      <c r="AB89" s="272">
        <f t="shared" si="31"/>
        <v>0.41935483870967744</v>
      </c>
      <c r="AC89" s="272">
        <f t="shared" si="27"/>
        <v>-0.40860215053763443</v>
      </c>
    </row>
    <row r="90" spans="1:29">
      <c r="A90" s="117" t="s">
        <v>182</v>
      </c>
      <c r="B90" s="105">
        <v>86000</v>
      </c>
      <c r="C90" s="9">
        <v>55000</v>
      </c>
      <c r="D90" s="9">
        <v>23000</v>
      </c>
      <c r="E90" s="9">
        <v>8000</v>
      </c>
      <c r="F90" s="9">
        <v>29000</v>
      </c>
      <c r="G90" s="9">
        <v>25000</v>
      </c>
      <c r="H90" s="9">
        <v>3000</v>
      </c>
      <c r="I90" s="13" t="s">
        <v>220</v>
      </c>
      <c r="J90" s="9">
        <v>13000</v>
      </c>
      <c r="K90" s="9">
        <v>7000</v>
      </c>
      <c r="L90" s="13" t="s">
        <v>191</v>
      </c>
      <c r="M90" s="13" t="s">
        <v>220</v>
      </c>
      <c r="N90" s="9">
        <v>43000</v>
      </c>
      <c r="O90" s="9">
        <v>23000</v>
      </c>
      <c r="P90" s="9">
        <v>14000</v>
      </c>
      <c r="Q90" s="265">
        <v>6000</v>
      </c>
      <c r="R90" s="272">
        <f t="shared" si="28"/>
        <v>0.63953488372093026</v>
      </c>
      <c r="S90" s="272">
        <f t="shared" si="28"/>
        <v>0.26744186046511625</v>
      </c>
      <c r="T90" s="272">
        <f t="shared" si="24"/>
        <v>-9.3023255813953487E-2</v>
      </c>
      <c r="U90" s="272">
        <f t="shared" si="34"/>
        <v>0.86206896551724133</v>
      </c>
      <c r="V90" s="272">
        <f t="shared" si="29"/>
        <v>0.10344827586206896</v>
      </c>
      <c r="W90" s="272" t="e">
        <f t="shared" si="25"/>
        <v>#VALUE!</v>
      </c>
      <c r="X90" s="272">
        <f t="shared" si="32"/>
        <v>0.53846153846153844</v>
      </c>
      <c r="Y90" s="272" t="e">
        <f t="shared" si="30"/>
        <v>#VALUE!</v>
      </c>
      <c r="Z90" s="272" t="e">
        <f t="shared" si="26"/>
        <v>#VALUE!</v>
      </c>
      <c r="AA90" s="272">
        <f t="shared" si="33"/>
        <v>0.53488372093023251</v>
      </c>
      <c r="AB90" s="272">
        <f t="shared" si="31"/>
        <v>0.32558139534883723</v>
      </c>
      <c r="AC90" s="272">
        <f t="shared" si="27"/>
        <v>-0.13953488372093023</v>
      </c>
    </row>
    <row r="91" spans="1:29">
      <c r="A91" s="116" t="s">
        <v>183</v>
      </c>
      <c r="B91" s="105">
        <v>888000</v>
      </c>
      <c r="C91" s="9">
        <v>644000</v>
      </c>
      <c r="D91" s="9">
        <v>184000</v>
      </c>
      <c r="E91" s="9">
        <v>60000</v>
      </c>
      <c r="F91" s="9">
        <v>560000</v>
      </c>
      <c r="G91" s="9">
        <v>451000</v>
      </c>
      <c r="H91" s="9">
        <v>99000</v>
      </c>
      <c r="I91" s="9">
        <v>10000</v>
      </c>
      <c r="J91" s="9">
        <v>132000</v>
      </c>
      <c r="K91" s="9">
        <v>85000</v>
      </c>
      <c r="L91" s="9">
        <v>31000</v>
      </c>
      <c r="M91" s="9">
        <v>16000</v>
      </c>
      <c r="N91" s="9">
        <v>195000</v>
      </c>
      <c r="O91" s="9">
        <v>107000</v>
      </c>
      <c r="P91" s="9">
        <v>53000</v>
      </c>
      <c r="Q91" s="265">
        <v>35000</v>
      </c>
      <c r="R91" s="272">
        <f t="shared" ref="R91:S109" si="35">C91/$B91</f>
        <v>0.72522522522522526</v>
      </c>
      <c r="S91" s="272">
        <f t="shared" si="35"/>
        <v>0.2072072072072072</v>
      </c>
      <c r="T91" s="272">
        <f t="shared" si="24"/>
        <v>-6.7567567567567571E-2</v>
      </c>
      <c r="U91" s="272">
        <f t="shared" si="34"/>
        <v>0.80535714285714288</v>
      </c>
      <c r="V91" s="272">
        <f t="shared" si="34"/>
        <v>0.1767857142857143</v>
      </c>
      <c r="W91" s="272">
        <f t="shared" si="25"/>
        <v>-1.7857142857142856E-2</v>
      </c>
      <c r="X91" s="272">
        <f t="shared" si="32"/>
        <v>0.64393939393939392</v>
      </c>
      <c r="Y91" s="272">
        <f t="shared" si="32"/>
        <v>0.23484848484848486</v>
      </c>
      <c r="Z91" s="272">
        <f t="shared" si="26"/>
        <v>-0.12121212121212122</v>
      </c>
      <c r="AA91" s="272">
        <f t="shared" si="33"/>
        <v>0.54871794871794877</v>
      </c>
      <c r="AB91" s="272">
        <f t="shared" si="33"/>
        <v>0.27179487179487177</v>
      </c>
      <c r="AC91" s="272">
        <f t="shared" si="27"/>
        <v>-0.17948717948717949</v>
      </c>
    </row>
    <row r="92" spans="1:29">
      <c r="A92" s="117" t="s">
        <v>184</v>
      </c>
      <c r="B92" s="105">
        <v>732000</v>
      </c>
      <c r="C92" s="9">
        <v>548000</v>
      </c>
      <c r="D92" s="9">
        <v>139000</v>
      </c>
      <c r="E92" s="9">
        <v>45000</v>
      </c>
      <c r="F92" s="9">
        <v>481000</v>
      </c>
      <c r="G92" s="9">
        <v>395000</v>
      </c>
      <c r="H92" s="9">
        <v>78000</v>
      </c>
      <c r="I92" s="9">
        <v>8000</v>
      </c>
      <c r="J92" s="9">
        <v>102000</v>
      </c>
      <c r="K92" s="9">
        <v>66000</v>
      </c>
      <c r="L92" s="9">
        <v>21000</v>
      </c>
      <c r="M92" s="9">
        <v>14000</v>
      </c>
      <c r="N92" s="9">
        <v>148000</v>
      </c>
      <c r="O92" s="9">
        <v>87000</v>
      </c>
      <c r="P92" s="9">
        <v>39000</v>
      </c>
      <c r="Q92" s="265">
        <v>22000</v>
      </c>
      <c r="R92" s="272">
        <f t="shared" si="35"/>
        <v>0.74863387978142082</v>
      </c>
      <c r="S92" s="272">
        <f t="shared" si="35"/>
        <v>0.18989071038251365</v>
      </c>
      <c r="T92" s="272">
        <f t="shared" si="24"/>
        <v>-6.1475409836065573E-2</v>
      </c>
      <c r="U92" s="272">
        <f t="shared" si="34"/>
        <v>0.8212058212058212</v>
      </c>
      <c r="V92" s="272">
        <f t="shared" si="34"/>
        <v>0.16216216216216217</v>
      </c>
      <c r="W92" s="272">
        <f t="shared" si="25"/>
        <v>-1.6632016632016633E-2</v>
      </c>
      <c r="X92" s="272">
        <f t="shared" ref="X92:Y109" si="36">K92/$J92</f>
        <v>0.6470588235294118</v>
      </c>
      <c r="Y92" s="272">
        <f t="shared" si="36"/>
        <v>0.20588235294117646</v>
      </c>
      <c r="Z92" s="272">
        <f t="shared" si="26"/>
        <v>-0.13725490196078433</v>
      </c>
      <c r="AA92" s="272">
        <f t="shared" ref="AA92:AB109" si="37">O92/$N92</f>
        <v>0.58783783783783783</v>
      </c>
      <c r="AB92" s="272">
        <f t="shared" si="37"/>
        <v>0.26351351351351349</v>
      </c>
      <c r="AC92" s="272">
        <f t="shared" si="27"/>
        <v>-0.14864864864864866</v>
      </c>
    </row>
    <row r="93" spans="1:29">
      <c r="A93" s="117" t="s">
        <v>185</v>
      </c>
      <c r="B93" s="105">
        <v>156000</v>
      </c>
      <c r="C93" s="9">
        <v>95000</v>
      </c>
      <c r="D93" s="9">
        <v>45000</v>
      </c>
      <c r="E93" s="9">
        <v>15000</v>
      </c>
      <c r="F93" s="9">
        <v>79000</v>
      </c>
      <c r="G93" s="9">
        <v>56000</v>
      </c>
      <c r="H93" s="9">
        <v>21000</v>
      </c>
      <c r="I93" s="9">
        <v>2000</v>
      </c>
      <c r="J93" s="9">
        <v>30000</v>
      </c>
      <c r="K93" s="9">
        <v>19000</v>
      </c>
      <c r="L93" s="9">
        <v>10000</v>
      </c>
      <c r="M93" s="9">
        <v>1000</v>
      </c>
      <c r="N93" s="9">
        <v>47000</v>
      </c>
      <c r="O93" s="9">
        <v>20000</v>
      </c>
      <c r="P93" s="9">
        <v>14000</v>
      </c>
      <c r="Q93" s="265">
        <v>12000</v>
      </c>
      <c r="R93" s="272">
        <f t="shared" si="35"/>
        <v>0.60897435897435892</v>
      </c>
      <c r="S93" s="272">
        <f t="shared" si="35"/>
        <v>0.28846153846153844</v>
      </c>
      <c r="T93" s="272">
        <f t="shared" si="24"/>
        <v>-9.6153846153846159E-2</v>
      </c>
      <c r="U93" s="272">
        <f t="shared" si="34"/>
        <v>0.70886075949367089</v>
      </c>
      <c r="V93" s="272">
        <f t="shared" si="34"/>
        <v>0.26582278481012656</v>
      </c>
      <c r="W93" s="272">
        <f t="shared" si="25"/>
        <v>-2.5316455696202531E-2</v>
      </c>
      <c r="X93" s="272">
        <f t="shared" si="36"/>
        <v>0.6333333333333333</v>
      </c>
      <c r="Y93" s="272">
        <f t="shared" si="36"/>
        <v>0.33333333333333331</v>
      </c>
      <c r="Z93" s="272">
        <f t="shared" si="26"/>
        <v>-3.3333333333333333E-2</v>
      </c>
      <c r="AA93" s="272">
        <f t="shared" si="37"/>
        <v>0.42553191489361702</v>
      </c>
      <c r="AB93" s="272">
        <f t="shared" si="37"/>
        <v>0.2978723404255319</v>
      </c>
      <c r="AC93" s="272">
        <f t="shared" si="27"/>
        <v>-0.25531914893617019</v>
      </c>
    </row>
    <row r="94" spans="1:29">
      <c r="A94" s="116" t="s">
        <v>186</v>
      </c>
      <c r="B94" s="105">
        <v>174000</v>
      </c>
      <c r="C94" s="9">
        <v>98000</v>
      </c>
      <c r="D94" s="9">
        <v>59000</v>
      </c>
      <c r="E94" s="9">
        <v>17000</v>
      </c>
      <c r="F94" s="9">
        <v>106000</v>
      </c>
      <c r="G94" s="9">
        <v>70000</v>
      </c>
      <c r="H94" s="9">
        <v>33000</v>
      </c>
      <c r="I94" s="9">
        <v>4000</v>
      </c>
      <c r="J94" s="9">
        <v>29000</v>
      </c>
      <c r="K94" s="9">
        <v>20000</v>
      </c>
      <c r="L94" s="9">
        <v>6000</v>
      </c>
      <c r="M94" s="13" t="s">
        <v>191</v>
      </c>
      <c r="N94" s="9">
        <v>39000</v>
      </c>
      <c r="O94" s="9">
        <v>8000</v>
      </c>
      <c r="P94" s="9">
        <v>21000</v>
      </c>
      <c r="Q94" s="265">
        <v>10000</v>
      </c>
      <c r="R94" s="272">
        <f t="shared" si="35"/>
        <v>0.56321839080459768</v>
      </c>
      <c r="S94" s="272">
        <f t="shared" si="35"/>
        <v>0.33908045977011492</v>
      </c>
      <c r="T94" s="272">
        <f t="shared" si="24"/>
        <v>-9.7701149425287362E-2</v>
      </c>
      <c r="U94" s="272">
        <f t="shared" si="34"/>
        <v>0.660377358490566</v>
      </c>
      <c r="V94" s="272">
        <f t="shared" si="34"/>
        <v>0.31132075471698112</v>
      </c>
      <c r="W94" s="272">
        <f t="shared" si="25"/>
        <v>-3.7735849056603772E-2</v>
      </c>
      <c r="X94" s="272">
        <f t="shared" si="36"/>
        <v>0.68965517241379315</v>
      </c>
      <c r="Y94" s="272">
        <f t="shared" si="36"/>
        <v>0.20689655172413793</v>
      </c>
      <c r="Z94" s="272" t="e">
        <f t="shared" si="26"/>
        <v>#VALUE!</v>
      </c>
      <c r="AA94" s="272">
        <f t="shared" si="37"/>
        <v>0.20512820512820512</v>
      </c>
      <c r="AB94" s="272">
        <f t="shared" si="37"/>
        <v>0.53846153846153844</v>
      </c>
      <c r="AC94" s="272">
        <f t="shared" si="27"/>
        <v>-0.25641025641025639</v>
      </c>
    </row>
    <row r="95" spans="1:29">
      <c r="A95" s="117" t="s">
        <v>187</v>
      </c>
      <c r="B95" s="105">
        <v>57000</v>
      </c>
      <c r="C95" s="9">
        <v>29000</v>
      </c>
      <c r="D95" s="9">
        <v>22000</v>
      </c>
      <c r="E95" s="9">
        <v>6000</v>
      </c>
      <c r="F95" s="9">
        <v>28000</v>
      </c>
      <c r="G95" s="9">
        <v>19000</v>
      </c>
      <c r="H95" s="9">
        <v>8000</v>
      </c>
      <c r="I95" s="13" t="s">
        <v>222</v>
      </c>
      <c r="J95" s="9">
        <v>11000</v>
      </c>
      <c r="K95" s="9">
        <v>8000</v>
      </c>
      <c r="L95" s="9">
        <v>1000</v>
      </c>
      <c r="M95" s="13" t="s">
        <v>191</v>
      </c>
      <c r="N95" s="9">
        <v>19000</v>
      </c>
      <c r="O95" s="9">
        <v>2000</v>
      </c>
      <c r="P95" s="9">
        <v>13000</v>
      </c>
      <c r="Q95" s="265">
        <v>4000</v>
      </c>
      <c r="R95" s="272">
        <f t="shared" si="35"/>
        <v>0.50877192982456143</v>
      </c>
      <c r="S95" s="272">
        <f t="shared" si="35"/>
        <v>0.38596491228070173</v>
      </c>
      <c r="T95" s="272">
        <f t="shared" si="24"/>
        <v>-0.10526315789473684</v>
      </c>
      <c r="U95" s="272">
        <f t="shared" si="34"/>
        <v>0.6785714285714286</v>
      </c>
      <c r="V95" s="272">
        <f t="shared" si="34"/>
        <v>0.2857142857142857</v>
      </c>
      <c r="W95" s="272" t="e">
        <f t="shared" si="25"/>
        <v>#VALUE!</v>
      </c>
      <c r="X95" s="272">
        <f t="shared" si="36"/>
        <v>0.72727272727272729</v>
      </c>
      <c r="Y95" s="272">
        <f t="shared" si="36"/>
        <v>9.0909090909090912E-2</v>
      </c>
      <c r="Z95" s="272" t="e">
        <f t="shared" si="26"/>
        <v>#VALUE!</v>
      </c>
      <c r="AA95" s="272">
        <f t="shared" si="37"/>
        <v>0.10526315789473684</v>
      </c>
      <c r="AB95" s="272">
        <f t="shared" si="37"/>
        <v>0.68421052631578949</v>
      </c>
      <c r="AC95" s="272">
        <f t="shared" si="27"/>
        <v>-0.21052631578947367</v>
      </c>
    </row>
    <row r="96" spans="1:29">
      <c r="A96" s="117" t="s">
        <v>188</v>
      </c>
      <c r="B96" s="105">
        <v>59000</v>
      </c>
      <c r="C96" s="9">
        <v>36000</v>
      </c>
      <c r="D96" s="9">
        <v>16000</v>
      </c>
      <c r="E96" s="9">
        <v>6000</v>
      </c>
      <c r="F96" s="9">
        <v>39000</v>
      </c>
      <c r="G96" s="9">
        <v>27000</v>
      </c>
      <c r="H96" s="9">
        <v>10000</v>
      </c>
      <c r="I96" s="13" t="s">
        <v>191</v>
      </c>
      <c r="J96" s="9">
        <v>6000</v>
      </c>
      <c r="K96" s="9">
        <v>5000</v>
      </c>
      <c r="L96" s="13" t="s">
        <v>191</v>
      </c>
      <c r="M96" s="13" t="s">
        <v>220</v>
      </c>
      <c r="N96" s="9">
        <v>14000</v>
      </c>
      <c r="O96" s="9">
        <v>4000</v>
      </c>
      <c r="P96" s="9">
        <v>5000</v>
      </c>
      <c r="Q96" s="265">
        <v>5000</v>
      </c>
      <c r="R96" s="272">
        <f t="shared" si="35"/>
        <v>0.61016949152542377</v>
      </c>
      <c r="S96" s="272">
        <f t="shared" si="35"/>
        <v>0.2711864406779661</v>
      </c>
      <c r="T96" s="272">
        <f t="shared" si="24"/>
        <v>-0.10169491525423729</v>
      </c>
      <c r="U96" s="272">
        <f t="shared" si="34"/>
        <v>0.69230769230769229</v>
      </c>
      <c r="V96" s="272">
        <f t="shared" si="34"/>
        <v>0.25641025641025639</v>
      </c>
      <c r="W96" s="272" t="e">
        <f t="shared" si="25"/>
        <v>#VALUE!</v>
      </c>
      <c r="X96" s="272">
        <f t="shared" si="36"/>
        <v>0.83333333333333337</v>
      </c>
      <c r="Y96" s="272" t="e">
        <f t="shared" si="36"/>
        <v>#VALUE!</v>
      </c>
      <c r="Z96" s="272" t="e">
        <f t="shared" si="26"/>
        <v>#VALUE!</v>
      </c>
      <c r="AA96" s="272">
        <f t="shared" si="37"/>
        <v>0.2857142857142857</v>
      </c>
      <c r="AB96" s="272">
        <f t="shared" si="37"/>
        <v>0.35714285714285715</v>
      </c>
      <c r="AC96" s="272">
        <f t="shared" si="27"/>
        <v>-0.35714285714285715</v>
      </c>
    </row>
    <row r="97" spans="1:29">
      <c r="A97" s="117" t="s">
        <v>189</v>
      </c>
      <c r="B97" s="105">
        <v>52000</v>
      </c>
      <c r="C97" s="9">
        <v>29000</v>
      </c>
      <c r="D97" s="9">
        <v>19000</v>
      </c>
      <c r="E97" s="9">
        <v>4000</v>
      </c>
      <c r="F97" s="9">
        <v>37000</v>
      </c>
      <c r="G97" s="9">
        <v>21000</v>
      </c>
      <c r="H97" s="9">
        <v>15000</v>
      </c>
      <c r="I97" s="13" t="s">
        <v>191</v>
      </c>
      <c r="J97" s="9">
        <v>9000</v>
      </c>
      <c r="K97" s="9">
        <v>6000</v>
      </c>
      <c r="L97" s="9">
        <v>3000</v>
      </c>
      <c r="M97" s="13" t="s">
        <v>220</v>
      </c>
      <c r="N97" s="9">
        <v>6000</v>
      </c>
      <c r="O97" s="13" t="s">
        <v>191</v>
      </c>
      <c r="P97" s="9">
        <v>2000</v>
      </c>
      <c r="Q97" s="269" t="s">
        <v>191</v>
      </c>
      <c r="R97" s="272">
        <f t="shared" si="35"/>
        <v>0.55769230769230771</v>
      </c>
      <c r="S97" s="272">
        <f t="shared" si="35"/>
        <v>0.36538461538461536</v>
      </c>
      <c r="T97" s="272">
        <f t="shared" si="24"/>
        <v>-7.6923076923076927E-2</v>
      </c>
      <c r="U97" s="272">
        <f t="shared" si="34"/>
        <v>0.56756756756756754</v>
      </c>
      <c r="V97" s="272">
        <f t="shared" si="34"/>
        <v>0.40540540540540543</v>
      </c>
      <c r="W97" s="272" t="e">
        <f t="shared" si="25"/>
        <v>#VALUE!</v>
      </c>
      <c r="X97" s="272">
        <f t="shared" si="36"/>
        <v>0.66666666666666663</v>
      </c>
      <c r="Y97" s="272">
        <f t="shared" si="36"/>
        <v>0.33333333333333331</v>
      </c>
      <c r="Z97" s="272" t="e">
        <f t="shared" si="26"/>
        <v>#VALUE!</v>
      </c>
      <c r="AA97" s="272" t="e">
        <f t="shared" si="37"/>
        <v>#VALUE!</v>
      </c>
      <c r="AB97" s="272">
        <f t="shared" si="37"/>
        <v>0.33333333333333331</v>
      </c>
      <c r="AC97" s="272" t="e">
        <f t="shared" si="27"/>
        <v>#VALUE!</v>
      </c>
    </row>
    <row r="98" spans="1:29">
      <c r="A98" s="117" t="s">
        <v>190</v>
      </c>
      <c r="B98" s="105">
        <v>6000</v>
      </c>
      <c r="C98" s="9">
        <v>4000</v>
      </c>
      <c r="D98" s="13" t="s">
        <v>191</v>
      </c>
      <c r="E98" s="13" t="s">
        <v>220</v>
      </c>
      <c r="F98" s="13" t="s">
        <v>191</v>
      </c>
      <c r="G98" s="13" t="s">
        <v>191</v>
      </c>
      <c r="H98" s="13" t="s">
        <v>220</v>
      </c>
      <c r="I98" s="13" t="s">
        <v>220</v>
      </c>
      <c r="J98" s="13" t="s">
        <v>191</v>
      </c>
      <c r="K98" s="9">
        <v>1000</v>
      </c>
      <c r="L98" s="13" t="s">
        <v>220</v>
      </c>
      <c r="M98" s="13" t="s">
        <v>220</v>
      </c>
      <c r="N98" s="9">
        <v>1000</v>
      </c>
      <c r="O98" s="13" t="s">
        <v>220</v>
      </c>
      <c r="P98" s="13" t="s">
        <v>220</v>
      </c>
      <c r="Q98" s="269" t="s">
        <v>220</v>
      </c>
      <c r="R98" s="272">
        <f t="shared" si="35"/>
        <v>0.66666666666666663</v>
      </c>
      <c r="S98" s="272" t="e">
        <f t="shared" si="35"/>
        <v>#VALUE!</v>
      </c>
      <c r="T98" s="272" t="e">
        <f t="shared" si="24"/>
        <v>#VALUE!</v>
      </c>
      <c r="U98" s="272" t="e">
        <f t="shared" si="34"/>
        <v>#VALUE!</v>
      </c>
      <c r="V98" s="272" t="e">
        <f t="shared" si="34"/>
        <v>#VALUE!</v>
      </c>
      <c r="W98" s="272" t="e">
        <f t="shared" si="25"/>
        <v>#VALUE!</v>
      </c>
      <c r="X98" s="272" t="e">
        <f t="shared" si="36"/>
        <v>#VALUE!</v>
      </c>
      <c r="Y98" s="272" t="e">
        <f t="shared" si="36"/>
        <v>#VALUE!</v>
      </c>
      <c r="Z98" s="272" t="e">
        <f t="shared" si="26"/>
        <v>#VALUE!</v>
      </c>
      <c r="AA98" s="272" t="e">
        <f t="shared" si="37"/>
        <v>#VALUE!</v>
      </c>
      <c r="AB98" s="272" t="e">
        <f t="shared" si="37"/>
        <v>#VALUE!</v>
      </c>
      <c r="AC98" s="272" t="e">
        <f t="shared" si="27"/>
        <v>#VALUE!</v>
      </c>
    </row>
    <row r="99" spans="1:29">
      <c r="A99" s="116" t="s">
        <v>192</v>
      </c>
      <c r="B99" s="105">
        <v>1171000</v>
      </c>
      <c r="C99" s="9">
        <v>693000</v>
      </c>
      <c r="D99" s="9">
        <v>295000</v>
      </c>
      <c r="E99" s="9">
        <v>183000</v>
      </c>
      <c r="F99" s="9">
        <v>212000</v>
      </c>
      <c r="G99" s="9">
        <v>158000</v>
      </c>
      <c r="H99" s="9">
        <v>32000</v>
      </c>
      <c r="I99" s="9">
        <v>23000</v>
      </c>
      <c r="J99" s="9">
        <v>109000</v>
      </c>
      <c r="K99" s="9">
        <v>68000</v>
      </c>
      <c r="L99" s="9">
        <v>28000</v>
      </c>
      <c r="M99" s="9">
        <v>14000</v>
      </c>
      <c r="N99" s="9">
        <v>850000</v>
      </c>
      <c r="O99" s="9">
        <v>467000</v>
      </c>
      <c r="P99" s="9">
        <v>236000</v>
      </c>
      <c r="Q99" s="265">
        <v>147000</v>
      </c>
      <c r="R99" s="272">
        <f t="shared" si="35"/>
        <v>0.591801878736123</v>
      </c>
      <c r="S99" s="272">
        <f t="shared" si="35"/>
        <v>0.25192143467122119</v>
      </c>
      <c r="T99" s="272">
        <f t="shared" si="24"/>
        <v>-0.15627668659265584</v>
      </c>
      <c r="U99" s="272">
        <f t="shared" si="34"/>
        <v>0.74528301886792447</v>
      </c>
      <c r="V99" s="272">
        <f t="shared" si="34"/>
        <v>0.15094339622641509</v>
      </c>
      <c r="W99" s="272">
        <f t="shared" si="25"/>
        <v>-0.10849056603773585</v>
      </c>
      <c r="X99" s="272">
        <f t="shared" si="36"/>
        <v>0.62385321100917435</v>
      </c>
      <c r="Y99" s="272">
        <f t="shared" si="36"/>
        <v>0.25688073394495414</v>
      </c>
      <c r="Z99" s="272">
        <f t="shared" si="26"/>
        <v>-0.12844036697247707</v>
      </c>
      <c r="AA99" s="272">
        <f t="shared" si="37"/>
        <v>0.54941176470588238</v>
      </c>
      <c r="AB99" s="272">
        <f t="shared" si="37"/>
        <v>0.27764705882352941</v>
      </c>
      <c r="AC99" s="272">
        <f t="shared" si="27"/>
        <v>-0.17294117647058824</v>
      </c>
    </row>
    <row r="100" spans="1:29">
      <c r="A100" s="117" t="s">
        <v>193</v>
      </c>
      <c r="B100" s="105">
        <v>114000</v>
      </c>
      <c r="C100" s="9">
        <v>57000</v>
      </c>
      <c r="D100" s="9">
        <v>41000</v>
      </c>
      <c r="E100" s="9">
        <v>15000</v>
      </c>
      <c r="F100" s="9">
        <v>30000</v>
      </c>
      <c r="G100" s="9">
        <v>22000</v>
      </c>
      <c r="H100" s="9">
        <v>5000</v>
      </c>
      <c r="I100" s="9">
        <v>3000</v>
      </c>
      <c r="J100" s="9">
        <v>2000</v>
      </c>
      <c r="K100" s="13" t="s">
        <v>191</v>
      </c>
      <c r="L100" s="9">
        <v>1000</v>
      </c>
      <c r="M100" s="13" t="s">
        <v>220</v>
      </c>
      <c r="N100" s="9">
        <v>81000</v>
      </c>
      <c r="O100" s="9">
        <v>34000</v>
      </c>
      <c r="P100" s="9">
        <v>35000</v>
      </c>
      <c r="Q100" s="265">
        <v>12000</v>
      </c>
      <c r="R100" s="272">
        <f t="shared" si="35"/>
        <v>0.5</v>
      </c>
      <c r="S100" s="272">
        <f t="shared" si="35"/>
        <v>0.35964912280701755</v>
      </c>
      <c r="T100" s="272">
        <f t="shared" si="24"/>
        <v>-0.13157894736842105</v>
      </c>
      <c r="U100" s="272">
        <f t="shared" si="34"/>
        <v>0.73333333333333328</v>
      </c>
      <c r="V100" s="272">
        <f t="shared" si="34"/>
        <v>0.16666666666666666</v>
      </c>
      <c r="W100" s="272">
        <f t="shared" si="25"/>
        <v>-0.1</v>
      </c>
      <c r="X100" s="272" t="e">
        <f t="shared" si="36"/>
        <v>#VALUE!</v>
      </c>
      <c r="Y100" s="272">
        <f t="shared" si="36"/>
        <v>0.5</v>
      </c>
      <c r="Z100" s="272" t="e">
        <f t="shared" si="26"/>
        <v>#VALUE!</v>
      </c>
      <c r="AA100" s="272">
        <f t="shared" si="37"/>
        <v>0.41975308641975306</v>
      </c>
      <c r="AB100" s="272">
        <f t="shared" si="37"/>
        <v>0.43209876543209874</v>
      </c>
      <c r="AC100" s="272">
        <f t="shared" si="27"/>
        <v>-0.14814814814814814</v>
      </c>
    </row>
    <row r="101" spans="1:29">
      <c r="A101" s="117" t="s">
        <v>194</v>
      </c>
      <c r="B101" s="105">
        <v>231000</v>
      </c>
      <c r="C101" s="9">
        <v>104000</v>
      </c>
      <c r="D101" s="9">
        <v>84000</v>
      </c>
      <c r="E101" s="9">
        <v>43000</v>
      </c>
      <c r="F101" s="9">
        <v>46000</v>
      </c>
      <c r="G101" s="9">
        <v>30000</v>
      </c>
      <c r="H101" s="9">
        <v>8000</v>
      </c>
      <c r="I101" s="9">
        <v>8000</v>
      </c>
      <c r="J101" s="9">
        <v>12000</v>
      </c>
      <c r="K101" s="9">
        <v>3000</v>
      </c>
      <c r="L101" s="9">
        <v>5000</v>
      </c>
      <c r="M101" s="13" t="s">
        <v>191</v>
      </c>
      <c r="N101" s="9">
        <v>173000</v>
      </c>
      <c r="O101" s="9">
        <v>70000</v>
      </c>
      <c r="P101" s="9">
        <v>71000</v>
      </c>
      <c r="Q101" s="265">
        <v>32000</v>
      </c>
      <c r="R101" s="272">
        <f t="shared" si="35"/>
        <v>0.45021645021645024</v>
      </c>
      <c r="S101" s="272">
        <f t="shared" si="35"/>
        <v>0.36363636363636365</v>
      </c>
      <c r="T101" s="272">
        <f t="shared" ref="T101:T132" si="38">(E101/B101)*(-1)</f>
        <v>-0.18614718614718614</v>
      </c>
      <c r="U101" s="272">
        <f t="shared" si="34"/>
        <v>0.65217391304347827</v>
      </c>
      <c r="V101" s="272">
        <f t="shared" si="34"/>
        <v>0.17391304347826086</v>
      </c>
      <c r="W101" s="272">
        <f t="shared" ref="W101:W132" si="39">(I101/F101)*(-1)</f>
        <v>-0.17391304347826086</v>
      </c>
      <c r="X101" s="272">
        <f t="shared" si="36"/>
        <v>0.25</v>
      </c>
      <c r="Y101" s="272">
        <f t="shared" si="36"/>
        <v>0.41666666666666669</v>
      </c>
      <c r="Z101" s="272" t="e">
        <f t="shared" ref="Z101:Z132" si="40">(M101/J101)*(-1)</f>
        <v>#VALUE!</v>
      </c>
      <c r="AA101" s="272">
        <f t="shared" si="37"/>
        <v>0.40462427745664742</v>
      </c>
      <c r="AB101" s="272">
        <f t="shared" si="37"/>
        <v>0.41040462427745666</v>
      </c>
      <c r="AC101" s="272">
        <f t="shared" ref="AC101:AC132" si="41">(Q101/N101)*(-1)</f>
        <v>-0.18497109826589594</v>
      </c>
    </row>
    <row r="102" spans="1:29">
      <c r="A102" s="117" t="s">
        <v>195</v>
      </c>
      <c r="B102" s="105">
        <v>602000</v>
      </c>
      <c r="C102" s="9">
        <v>435000</v>
      </c>
      <c r="D102" s="9">
        <v>104000</v>
      </c>
      <c r="E102" s="9">
        <v>63000</v>
      </c>
      <c r="F102" s="9">
        <v>96000</v>
      </c>
      <c r="G102" s="9">
        <v>81000</v>
      </c>
      <c r="H102" s="9">
        <v>8000</v>
      </c>
      <c r="I102" s="9">
        <v>6000</v>
      </c>
      <c r="J102" s="9">
        <v>73000</v>
      </c>
      <c r="K102" s="9">
        <v>52000</v>
      </c>
      <c r="L102" s="9">
        <v>18000</v>
      </c>
      <c r="M102" s="9">
        <v>3000</v>
      </c>
      <c r="N102" s="9">
        <v>433000</v>
      </c>
      <c r="O102" s="9">
        <v>302000</v>
      </c>
      <c r="P102" s="9">
        <v>78000</v>
      </c>
      <c r="Q102" s="265">
        <v>54000</v>
      </c>
      <c r="R102" s="272">
        <f t="shared" si="35"/>
        <v>0.72259136212624586</v>
      </c>
      <c r="S102" s="272">
        <f t="shared" si="35"/>
        <v>0.17275747508305647</v>
      </c>
      <c r="T102" s="272">
        <f t="shared" si="38"/>
        <v>-0.10465116279069768</v>
      </c>
      <c r="U102" s="272">
        <f t="shared" si="34"/>
        <v>0.84375</v>
      </c>
      <c r="V102" s="272">
        <f t="shared" si="34"/>
        <v>8.3333333333333329E-2</v>
      </c>
      <c r="W102" s="272">
        <f t="shared" si="39"/>
        <v>-6.25E-2</v>
      </c>
      <c r="X102" s="272">
        <f t="shared" si="36"/>
        <v>0.71232876712328763</v>
      </c>
      <c r="Y102" s="272">
        <f t="shared" si="36"/>
        <v>0.24657534246575341</v>
      </c>
      <c r="Z102" s="272">
        <f t="shared" si="40"/>
        <v>-4.1095890410958902E-2</v>
      </c>
      <c r="AA102" s="272">
        <f t="shared" si="37"/>
        <v>0.69745958429561206</v>
      </c>
      <c r="AB102" s="272">
        <f t="shared" si="37"/>
        <v>0.18013856812933027</v>
      </c>
      <c r="AC102" s="272">
        <f t="shared" si="41"/>
        <v>-0.12471131639722864</v>
      </c>
    </row>
    <row r="103" spans="1:29">
      <c r="A103" s="117" t="s">
        <v>196</v>
      </c>
      <c r="B103" s="105">
        <v>82000</v>
      </c>
      <c r="C103" s="9">
        <v>34000</v>
      </c>
      <c r="D103" s="9">
        <v>28000</v>
      </c>
      <c r="E103" s="9">
        <v>20000</v>
      </c>
      <c r="F103" s="9">
        <v>22000</v>
      </c>
      <c r="G103" s="9">
        <v>15000</v>
      </c>
      <c r="H103" s="13" t="s">
        <v>191</v>
      </c>
      <c r="I103" s="13" t="s">
        <v>191</v>
      </c>
      <c r="J103" s="9">
        <v>7000</v>
      </c>
      <c r="K103" s="13" t="s">
        <v>191</v>
      </c>
      <c r="L103" s="13" t="s">
        <v>220</v>
      </c>
      <c r="M103" s="13" t="s">
        <v>191</v>
      </c>
      <c r="N103" s="9">
        <v>53000</v>
      </c>
      <c r="O103" s="9">
        <v>17000</v>
      </c>
      <c r="P103" s="9">
        <v>23000</v>
      </c>
      <c r="Q103" s="265">
        <v>13000</v>
      </c>
      <c r="R103" s="272">
        <f t="shared" si="35"/>
        <v>0.41463414634146339</v>
      </c>
      <c r="S103" s="272">
        <f t="shared" si="35"/>
        <v>0.34146341463414637</v>
      </c>
      <c r="T103" s="272">
        <f t="shared" si="38"/>
        <v>-0.24390243902439024</v>
      </c>
      <c r="U103" s="272">
        <f t="shared" si="34"/>
        <v>0.68181818181818177</v>
      </c>
      <c r="V103" s="272" t="e">
        <f t="shared" si="34"/>
        <v>#VALUE!</v>
      </c>
      <c r="W103" s="272" t="e">
        <f t="shared" si="39"/>
        <v>#VALUE!</v>
      </c>
      <c r="X103" s="272" t="e">
        <f t="shared" si="36"/>
        <v>#VALUE!</v>
      </c>
      <c r="Y103" s="272" t="e">
        <f t="shared" si="36"/>
        <v>#VALUE!</v>
      </c>
      <c r="Z103" s="272" t="e">
        <f t="shared" si="40"/>
        <v>#VALUE!</v>
      </c>
      <c r="AA103" s="272">
        <f t="shared" si="37"/>
        <v>0.32075471698113206</v>
      </c>
      <c r="AB103" s="272">
        <f t="shared" si="37"/>
        <v>0.43396226415094341</v>
      </c>
      <c r="AC103" s="272">
        <f t="shared" si="41"/>
        <v>-0.24528301886792453</v>
      </c>
    </row>
    <row r="104" spans="1:29">
      <c r="A104" s="117" t="s">
        <v>197</v>
      </c>
      <c r="B104" s="105">
        <v>142000</v>
      </c>
      <c r="C104" s="9">
        <v>63000</v>
      </c>
      <c r="D104" s="9">
        <v>38000</v>
      </c>
      <c r="E104" s="9">
        <v>41000</v>
      </c>
      <c r="F104" s="9">
        <v>18000</v>
      </c>
      <c r="G104" s="9">
        <v>9000</v>
      </c>
      <c r="H104" s="9">
        <v>4000</v>
      </c>
      <c r="I104" s="9">
        <v>5000</v>
      </c>
      <c r="J104" s="9">
        <v>15000</v>
      </c>
      <c r="K104" s="9">
        <v>10000</v>
      </c>
      <c r="L104" s="9">
        <v>4000</v>
      </c>
      <c r="M104" s="13" t="s">
        <v>220</v>
      </c>
      <c r="N104" s="9">
        <v>110000</v>
      </c>
      <c r="O104" s="9">
        <v>44000</v>
      </c>
      <c r="P104" s="9">
        <v>30000</v>
      </c>
      <c r="Q104" s="265">
        <v>35000</v>
      </c>
      <c r="R104" s="272">
        <f t="shared" si="35"/>
        <v>0.44366197183098594</v>
      </c>
      <c r="S104" s="272">
        <f t="shared" si="35"/>
        <v>0.26760563380281688</v>
      </c>
      <c r="T104" s="272">
        <f t="shared" si="38"/>
        <v>-0.28873239436619719</v>
      </c>
      <c r="U104" s="272">
        <f t="shared" si="34"/>
        <v>0.5</v>
      </c>
      <c r="V104" s="272">
        <f t="shared" si="34"/>
        <v>0.22222222222222221</v>
      </c>
      <c r="W104" s="272">
        <f t="shared" si="39"/>
        <v>-0.27777777777777779</v>
      </c>
      <c r="X104" s="272">
        <f t="shared" si="36"/>
        <v>0.66666666666666663</v>
      </c>
      <c r="Y104" s="272">
        <f t="shared" si="36"/>
        <v>0.26666666666666666</v>
      </c>
      <c r="Z104" s="272" t="e">
        <f t="shared" si="40"/>
        <v>#VALUE!</v>
      </c>
      <c r="AA104" s="272">
        <f t="shared" si="37"/>
        <v>0.4</v>
      </c>
      <c r="AB104" s="272">
        <f t="shared" si="37"/>
        <v>0.27272727272727271</v>
      </c>
      <c r="AC104" s="272">
        <f t="shared" si="41"/>
        <v>-0.31818181818181818</v>
      </c>
    </row>
    <row r="105" spans="1:29">
      <c r="A105" s="116" t="s">
        <v>198</v>
      </c>
      <c r="B105" s="105">
        <v>1030000</v>
      </c>
      <c r="C105" s="9">
        <v>696000</v>
      </c>
      <c r="D105" s="9">
        <v>274000</v>
      </c>
      <c r="E105" s="9">
        <v>60000</v>
      </c>
      <c r="F105" s="9">
        <v>635000</v>
      </c>
      <c r="G105" s="9">
        <v>483000</v>
      </c>
      <c r="H105" s="9">
        <v>139000</v>
      </c>
      <c r="I105" s="9">
        <v>13000</v>
      </c>
      <c r="J105" s="9">
        <v>178000</v>
      </c>
      <c r="K105" s="9">
        <v>124000</v>
      </c>
      <c r="L105" s="9">
        <v>48000</v>
      </c>
      <c r="M105" s="9">
        <v>6000</v>
      </c>
      <c r="N105" s="9">
        <v>216000</v>
      </c>
      <c r="O105" s="9">
        <v>88000</v>
      </c>
      <c r="P105" s="9">
        <v>86000</v>
      </c>
      <c r="Q105" s="265">
        <v>42000</v>
      </c>
      <c r="R105" s="272">
        <f t="shared" si="35"/>
        <v>0.67572815533980579</v>
      </c>
      <c r="S105" s="272">
        <f t="shared" si="35"/>
        <v>0.26601941747572816</v>
      </c>
      <c r="T105" s="272">
        <f t="shared" si="38"/>
        <v>-5.8252427184466021E-2</v>
      </c>
      <c r="U105" s="272">
        <f t="shared" si="34"/>
        <v>0.76062992125984252</v>
      </c>
      <c r="V105" s="272">
        <f t="shared" si="34"/>
        <v>0.2188976377952756</v>
      </c>
      <c r="W105" s="272">
        <f t="shared" si="39"/>
        <v>-2.0472440944881889E-2</v>
      </c>
      <c r="X105" s="272">
        <f t="shared" si="36"/>
        <v>0.6966292134831461</v>
      </c>
      <c r="Y105" s="272">
        <f t="shared" si="36"/>
        <v>0.2696629213483146</v>
      </c>
      <c r="Z105" s="272">
        <f t="shared" si="40"/>
        <v>-3.3707865168539325E-2</v>
      </c>
      <c r="AA105" s="272">
        <f t="shared" si="37"/>
        <v>0.40740740740740738</v>
      </c>
      <c r="AB105" s="272">
        <f t="shared" si="37"/>
        <v>0.39814814814814814</v>
      </c>
      <c r="AC105" s="272">
        <f t="shared" si="41"/>
        <v>-0.19444444444444445</v>
      </c>
    </row>
    <row r="106" spans="1:29">
      <c r="A106" s="117" t="s">
        <v>199</v>
      </c>
      <c r="B106" s="105">
        <v>48000</v>
      </c>
      <c r="C106" s="9">
        <v>32000</v>
      </c>
      <c r="D106" s="9">
        <v>13000</v>
      </c>
      <c r="E106" s="9">
        <v>3000</v>
      </c>
      <c r="F106" s="9">
        <v>29000</v>
      </c>
      <c r="G106" s="9">
        <v>22000</v>
      </c>
      <c r="H106" s="9">
        <v>6000</v>
      </c>
      <c r="I106" s="9">
        <v>1000</v>
      </c>
      <c r="J106" s="9">
        <v>7000</v>
      </c>
      <c r="K106" s="9">
        <v>5000</v>
      </c>
      <c r="L106" s="13" t="s">
        <v>191</v>
      </c>
      <c r="M106" s="13" t="s">
        <v>220</v>
      </c>
      <c r="N106" s="9">
        <v>12000</v>
      </c>
      <c r="O106" s="13" t="s">
        <v>191</v>
      </c>
      <c r="P106" s="9">
        <v>5000</v>
      </c>
      <c r="Q106" s="269" t="s">
        <v>191</v>
      </c>
      <c r="R106" s="272">
        <f t="shared" si="35"/>
        <v>0.66666666666666663</v>
      </c>
      <c r="S106" s="272">
        <f t="shared" si="35"/>
        <v>0.27083333333333331</v>
      </c>
      <c r="T106" s="272">
        <f t="shared" si="38"/>
        <v>-6.25E-2</v>
      </c>
      <c r="U106" s="272">
        <f t="shared" si="34"/>
        <v>0.75862068965517238</v>
      </c>
      <c r="V106" s="272">
        <f t="shared" si="34"/>
        <v>0.20689655172413793</v>
      </c>
      <c r="W106" s="272">
        <f t="shared" si="39"/>
        <v>-3.4482758620689655E-2</v>
      </c>
      <c r="X106" s="272">
        <f t="shared" si="36"/>
        <v>0.7142857142857143</v>
      </c>
      <c r="Y106" s="272" t="e">
        <f t="shared" si="36"/>
        <v>#VALUE!</v>
      </c>
      <c r="Z106" s="272" t="e">
        <f t="shared" si="40"/>
        <v>#VALUE!</v>
      </c>
      <c r="AA106" s="272" t="e">
        <f t="shared" si="37"/>
        <v>#VALUE!</v>
      </c>
      <c r="AB106" s="272">
        <f t="shared" si="37"/>
        <v>0.41666666666666669</v>
      </c>
      <c r="AC106" s="272" t="e">
        <f t="shared" si="41"/>
        <v>#VALUE!</v>
      </c>
    </row>
    <row r="107" spans="1:29">
      <c r="A107" s="117" t="s">
        <v>200</v>
      </c>
      <c r="B107" s="105">
        <v>38000</v>
      </c>
      <c r="C107" s="9">
        <v>16000</v>
      </c>
      <c r="D107" s="9">
        <v>16000</v>
      </c>
      <c r="E107" s="9">
        <v>5000</v>
      </c>
      <c r="F107" s="9">
        <v>19000</v>
      </c>
      <c r="G107" s="9">
        <v>11000</v>
      </c>
      <c r="H107" s="9">
        <v>6000</v>
      </c>
      <c r="I107" s="13" t="s">
        <v>191</v>
      </c>
      <c r="J107" s="9">
        <v>7000</v>
      </c>
      <c r="K107" s="13" t="s">
        <v>191</v>
      </c>
      <c r="L107" s="13" t="s">
        <v>191</v>
      </c>
      <c r="M107" s="13" t="s">
        <v>220</v>
      </c>
      <c r="N107" s="9">
        <v>11000</v>
      </c>
      <c r="O107" s="9">
        <v>3000</v>
      </c>
      <c r="P107" s="9">
        <v>5000</v>
      </c>
      <c r="Q107" s="265">
        <v>3000</v>
      </c>
      <c r="R107" s="272">
        <f t="shared" si="35"/>
        <v>0.42105263157894735</v>
      </c>
      <c r="S107" s="272">
        <f t="shared" si="35"/>
        <v>0.42105263157894735</v>
      </c>
      <c r="T107" s="272">
        <f t="shared" si="38"/>
        <v>-0.13157894736842105</v>
      </c>
      <c r="U107" s="272">
        <f t="shared" si="34"/>
        <v>0.57894736842105265</v>
      </c>
      <c r="V107" s="272">
        <f t="shared" si="34"/>
        <v>0.31578947368421051</v>
      </c>
      <c r="W107" s="272" t="e">
        <f t="shared" si="39"/>
        <v>#VALUE!</v>
      </c>
      <c r="X107" s="272" t="e">
        <f t="shared" si="36"/>
        <v>#VALUE!</v>
      </c>
      <c r="Y107" s="272" t="e">
        <f t="shared" si="36"/>
        <v>#VALUE!</v>
      </c>
      <c r="Z107" s="272" t="e">
        <f t="shared" si="40"/>
        <v>#VALUE!</v>
      </c>
      <c r="AA107" s="272">
        <f t="shared" si="37"/>
        <v>0.27272727272727271</v>
      </c>
      <c r="AB107" s="272">
        <f t="shared" si="37"/>
        <v>0.45454545454545453</v>
      </c>
      <c r="AC107" s="272">
        <f t="shared" si="41"/>
        <v>-0.27272727272727271</v>
      </c>
    </row>
    <row r="108" spans="1:29">
      <c r="A108" s="117" t="s">
        <v>201</v>
      </c>
      <c r="B108" s="105">
        <v>126000</v>
      </c>
      <c r="C108" s="9">
        <v>101000</v>
      </c>
      <c r="D108" s="9">
        <v>20000</v>
      </c>
      <c r="E108" s="9">
        <v>5000</v>
      </c>
      <c r="F108" s="9">
        <v>85000</v>
      </c>
      <c r="G108" s="9">
        <v>73000</v>
      </c>
      <c r="H108" s="9">
        <v>11000</v>
      </c>
      <c r="I108" s="13" t="s">
        <v>191</v>
      </c>
      <c r="J108" s="9">
        <v>21000</v>
      </c>
      <c r="K108" s="9">
        <v>18000</v>
      </c>
      <c r="L108" s="9">
        <v>2000</v>
      </c>
      <c r="M108" s="13" t="s">
        <v>220</v>
      </c>
      <c r="N108" s="9">
        <v>20000</v>
      </c>
      <c r="O108" s="9">
        <v>9000</v>
      </c>
      <c r="P108" s="9">
        <v>6000</v>
      </c>
      <c r="Q108" s="265">
        <v>4000</v>
      </c>
      <c r="R108" s="272">
        <f t="shared" si="35"/>
        <v>0.80158730158730163</v>
      </c>
      <c r="S108" s="272">
        <f t="shared" si="35"/>
        <v>0.15873015873015872</v>
      </c>
      <c r="T108" s="272">
        <f t="shared" si="38"/>
        <v>-3.968253968253968E-2</v>
      </c>
      <c r="U108" s="272">
        <f t="shared" si="34"/>
        <v>0.85882352941176465</v>
      </c>
      <c r="V108" s="272">
        <f t="shared" si="34"/>
        <v>0.12941176470588237</v>
      </c>
      <c r="W108" s="272" t="e">
        <f t="shared" si="39"/>
        <v>#VALUE!</v>
      </c>
      <c r="X108" s="272">
        <f t="shared" si="36"/>
        <v>0.8571428571428571</v>
      </c>
      <c r="Y108" s="272">
        <f t="shared" si="36"/>
        <v>9.5238095238095233E-2</v>
      </c>
      <c r="Z108" s="272" t="e">
        <f t="shared" si="40"/>
        <v>#VALUE!</v>
      </c>
      <c r="AA108" s="272">
        <f t="shared" si="37"/>
        <v>0.45</v>
      </c>
      <c r="AB108" s="272">
        <f t="shared" si="37"/>
        <v>0.3</v>
      </c>
      <c r="AC108" s="272">
        <f t="shared" si="41"/>
        <v>-0.2</v>
      </c>
    </row>
    <row r="109" spans="1:29">
      <c r="A109" s="117" t="s">
        <v>202</v>
      </c>
      <c r="B109" s="105">
        <v>406000</v>
      </c>
      <c r="C109" s="9">
        <v>293000</v>
      </c>
      <c r="D109" s="9">
        <v>95000</v>
      </c>
      <c r="E109" s="9">
        <v>18000</v>
      </c>
      <c r="F109" s="9">
        <v>262000</v>
      </c>
      <c r="G109" s="9">
        <v>207000</v>
      </c>
      <c r="H109" s="9">
        <v>53000</v>
      </c>
      <c r="I109" s="9">
        <v>2000</v>
      </c>
      <c r="J109" s="9">
        <v>76000</v>
      </c>
      <c r="K109" s="9">
        <v>54000</v>
      </c>
      <c r="L109" s="9">
        <v>20000</v>
      </c>
      <c r="M109" s="9">
        <v>1000</v>
      </c>
      <c r="N109" s="9">
        <v>68000</v>
      </c>
      <c r="O109" s="9">
        <v>32000</v>
      </c>
      <c r="P109" s="9">
        <v>21000</v>
      </c>
      <c r="Q109" s="265">
        <v>15000</v>
      </c>
      <c r="R109" s="272">
        <f t="shared" si="35"/>
        <v>0.72167487684729059</v>
      </c>
      <c r="S109" s="272">
        <f t="shared" si="35"/>
        <v>0.23399014778325122</v>
      </c>
      <c r="T109" s="272">
        <f t="shared" si="38"/>
        <v>-4.4334975369458129E-2</v>
      </c>
      <c r="U109" s="272">
        <f t="shared" si="34"/>
        <v>0.79007633587786263</v>
      </c>
      <c r="V109" s="272">
        <f t="shared" si="34"/>
        <v>0.20229007633587787</v>
      </c>
      <c r="W109" s="272">
        <f t="shared" si="39"/>
        <v>-7.6335877862595417E-3</v>
      </c>
      <c r="X109" s="272">
        <f t="shared" si="36"/>
        <v>0.71052631578947367</v>
      </c>
      <c r="Y109" s="272">
        <f t="shared" si="36"/>
        <v>0.26315789473684209</v>
      </c>
      <c r="Z109" s="272">
        <f t="shared" si="40"/>
        <v>-1.3157894736842105E-2</v>
      </c>
      <c r="AA109" s="272">
        <f t="shared" si="37"/>
        <v>0.47058823529411764</v>
      </c>
      <c r="AB109" s="272">
        <f t="shared" si="37"/>
        <v>0.30882352941176472</v>
      </c>
      <c r="AC109" s="272">
        <f t="shared" si="41"/>
        <v>-0.22058823529411764</v>
      </c>
    </row>
    <row r="110" spans="1:29">
      <c r="A110" s="117" t="s">
        <v>203</v>
      </c>
      <c r="B110" s="107">
        <v>66000</v>
      </c>
      <c r="C110" s="7">
        <v>35000</v>
      </c>
      <c r="D110" s="7">
        <v>26000</v>
      </c>
      <c r="E110" s="7">
        <v>4000</v>
      </c>
      <c r="F110" s="7">
        <v>31000</v>
      </c>
      <c r="G110" s="7">
        <v>18000</v>
      </c>
      <c r="H110" s="7">
        <v>13000</v>
      </c>
      <c r="I110" s="19" t="s">
        <v>220</v>
      </c>
      <c r="J110" s="7">
        <v>12000</v>
      </c>
      <c r="K110" s="7">
        <v>6000</v>
      </c>
      <c r="L110" s="7">
        <v>6000</v>
      </c>
      <c r="M110" s="19" t="s">
        <v>220</v>
      </c>
      <c r="N110" s="7">
        <v>22000</v>
      </c>
      <c r="O110" s="7">
        <v>11000</v>
      </c>
      <c r="P110" s="7">
        <v>7000</v>
      </c>
      <c r="Q110" s="268">
        <v>4000</v>
      </c>
      <c r="R110" s="272">
        <f>C110/$B110</f>
        <v>0.53030303030303028</v>
      </c>
      <c r="S110" s="272">
        <f t="shared" ref="S110:S125" si="42">D110/$B110</f>
        <v>0.39393939393939392</v>
      </c>
      <c r="T110" s="272">
        <f t="shared" si="38"/>
        <v>-6.0606060606060608E-2</v>
      </c>
      <c r="U110" s="272">
        <f>G110/$F110</f>
        <v>0.58064516129032262</v>
      </c>
      <c r="V110" s="272">
        <f t="shared" ref="V110:V125" si="43">H110/$F110</f>
        <v>0.41935483870967744</v>
      </c>
      <c r="W110" s="272" t="e">
        <f t="shared" si="39"/>
        <v>#VALUE!</v>
      </c>
      <c r="X110" s="272">
        <f>K110/$J110</f>
        <v>0.5</v>
      </c>
      <c r="Y110" s="272">
        <f t="shared" ref="Y110:Y125" si="44">L110/$J110</f>
        <v>0.5</v>
      </c>
      <c r="Z110" s="272" t="e">
        <f t="shared" si="40"/>
        <v>#VALUE!</v>
      </c>
      <c r="AA110" s="272">
        <f>O110/$N110</f>
        <v>0.5</v>
      </c>
      <c r="AB110" s="272">
        <f t="shared" ref="AB110:AB125" si="45">P110/$N110</f>
        <v>0.31818181818181818</v>
      </c>
      <c r="AC110" s="272">
        <f t="shared" si="41"/>
        <v>-0.18181818181818182</v>
      </c>
    </row>
    <row r="111" spans="1:29">
      <c r="A111" s="117" t="s">
        <v>204</v>
      </c>
      <c r="B111" s="105">
        <v>159000</v>
      </c>
      <c r="C111" s="9">
        <v>96000</v>
      </c>
      <c r="D111" s="9">
        <v>55000</v>
      </c>
      <c r="E111" s="9">
        <v>8000</v>
      </c>
      <c r="F111" s="9">
        <v>107000</v>
      </c>
      <c r="G111" s="9">
        <v>74000</v>
      </c>
      <c r="H111" s="9">
        <v>30000</v>
      </c>
      <c r="I111" s="9">
        <v>3000</v>
      </c>
      <c r="J111" s="9">
        <v>23000</v>
      </c>
      <c r="K111" s="9">
        <v>15000</v>
      </c>
      <c r="L111" s="9">
        <v>7000</v>
      </c>
      <c r="M111" s="13" t="s">
        <v>191</v>
      </c>
      <c r="N111" s="9">
        <v>30000</v>
      </c>
      <c r="O111" s="9">
        <v>7000</v>
      </c>
      <c r="P111" s="9">
        <v>19000</v>
      </c>
      <c r="Q111" s="265">
        <v>4000</v>
      </c>
      <c r="R111" s="272">
        <f t="shared" ref="R111:S144" si="46">C111/$B111</f>
        <v>0.60377358490566035</v>
      </c>
      <c r="S111" s="272">
        <f t="shared" si="42"/>
        <v>0.34591194968553457</v>
      </c>
      <c r="T111" s="272">
        <f t="shared" si="38"/>
        <v>-5.0314465408805034E-2</v>
      </c>
      <c r="U111" s="272">
        <f t="shared" ref="U111:V144" si="47">G111/$F111</f>
        <v>0.69158878504672894</v>
      </c>
      <c r="V111" s="272">
        <f t="shared" si="43"/>
        <v>0.28037383177570091</v>
      </c>
      <c r="W111" s="272">
        <f t="shared" si="39"/>
        <v>-2.8037383177570093E-2</v>
      </c>
      <c r="X111" s="272">
        <f t="shared" ref="X111:Y144" si="48">K111/$J111</f>
        <v>0.65217391304347827</v>
      </c>
      <c r="Y111" s="272">
        <f t="shared" si="44"/>
        <v>0.30434782608695654</v>
      </c>
      <c r="Z111" s="272" t="e">
        <f t="shared" si="40"/>
        <v>#VALUE!</v>
      </c>
      <c r="AA111" s="272">
        <f t="shared" ref="AA111:AB144" si="49">O111/$N111</f>
        <v>0.23333333333333334</v>
      </c>
      <c r="AB111" s="272">
        <f t="shared" si="45"/>
        <v>0.6333333333333333</v>
      </c>
      <c r="AC111" s="272">
        <f t="shared" si="41"/>
        <v>-0.13333333333333333</v>
      </c>
    </row>
    <row r="112" spans="1:29">
      <c r="A112" s="117" t="s">
        <v>205</v>
      </c>
      <c r="B112" s="105">
        <v>188000</v>
      </c>
      <c r="C112" s="9">
        <v>123000</v>
      </c>
      <c r="D112" s="9">
        <v>48000</v>
      </c>
      <c r="E112" s="9">
        <v>17000</v>
      </c>
      <c r="F112" s="9">
        <v>102000</v>
      </c>
      <c r="G112" s="9">
        <v>79000</v>
      </c>
      <c r="H112" s="9">
        <v>20000</v>
      </c>
      <c r="I112" s="9">
        <v>4000</v>
      </c>
      <c r="J112" s="9">
        <v>32000</v>
      </c>
      <c r="K112" s="9">
        <v>24000</v>
      </c>
      <c r="L112" s="9">
        <v>6000</v>
      </c>
      <c r="M112" s="9">
        <v>2000</v>
      </c>
      <c r="N112" s="9">
        <v>54000</v>
      </c>
      <c r="O112" s="9">
        <v>20000</v>
      </c>
      <c r="P112" s="9">
        <v>23000</v>
      </c>
      <c r="Q112" s="265">
        <v>11000</v>
      </c>
      <c r="R112" s="272">
        <f t="shared" si="46"/>
        <v>0.6542553191489362</v>
      </c>
      <c r="S112" s="272">
        <f t="shared" si="42"/>
        <v>0.25531914893617019</v>
      </c>
      <c r="T112" s="272">
        <f t="shared" si="38"/>
        <v>-9.0425531914893623E-2</v>
      </c>
      <c r="U112" s="272">
        <f t="shared" si="47"/>
        <v>0.77450980392156865</v>
      </c>
      <c r="V112" s="272">
        <f t="shared" si="43"/>
        <v>0.19607843137254902</v>
      </c>
      <c r="W112" s="272">
        <f t="shared" si="39"/>
        <v>-3.9215686274509803E-2</v>
      </c>
      <c r="X112" s="272">
        <f t="shared" si="48"/>
        <v>0.75</v>
      </c>
      <c r="Y112" s="272">
        <f t="shared" si="44"/>
        <v>0.1875</v>
      </c>
      <c r="Z112" s="272">
        <f t="shared" si="40"/>
        <v>-6.25E-2</v>
      </c>
      <c r="AA112" s="272">
        <f t="shared" si="49"/>
        <v>0.37037037037037035</v>
      </c>
      <c r="AB112" s="272">
        <f t="shared" si="45"/>
        <v>0.42592592592592593</v>
      </c>
      <c r="AC112" s="272">
        <f t="shared" si="41"/>
        <v>-0.20370370370370369</v>
      </c>
    </row>
    <row r="113" spans="1:29">
      <c r="A113" s="115" t="s">
        <v>206</v>
      </c>
      <c r="B113" s="105">
        <v>2080000</v>
      </c>
      <c r="C113" s="9">
        <v>1630000</v>
      </c>
      <c r="D113" s="9">
        <v>287000</v>
      </c>
      <c r="E113" s="9">
        <v>163000</v>
      </c>
      <c r="F113" s="9">
        <v>156000</v>
      </c>
      <c r="G113" s="9">
        <v>120000</v>
      </c>
      <c r="H113" s="9">
        <v>22000</v>
      </c>
      <c r="I113" s="9">
        <v>14000</v>
      </c>
      <c r="J113" s="9">
        <v>1327000</v>
      </c>
      <c r="K113" s="9">
        <v>1178000</v>
      </c>
      <c r="L113" s="9">
        <v>120000</v>
      </c>
      <c r="M113" s="9">
        <v>29000</v>
      </c>
      <c r="N113" s="9">
        <v>598000</v>
      </c>
      <c r="O113" s="9">
        <v>332000</v>
      </c>
      <c r="P113" s="9">
        <v>145000</v>
      </c>
      <c r="Q113" s="265">
        <v>121000</v>
      </c>
      <c r="R113" s="272">
        <f t="shared" si="46"/>
        <v>0.78365384615384615</v>
      </c>
      <c r="S113" s="272">
        <f t="shared" si="42"/>
        <v>0.13798076923076924</v>
      </c>
      <c r="T113" s="272">
        <f t="shared" si="38"/>
        <v>-7.8365384615384615E-2</v>
      </c>
      <c r="U113" s="272">
        <f t="shared" si="47"/>
        <v>0.76923076923076927</v>
      </c>
      <c r="V113" s="272">
        <f t="shared" si="43"/>
        <v>0.14102564102564102</v>
      </c>
      <c r="W113" s="272">
        <f t="shared" si="39"/>
        <v>-8.9743589743589744E-2</v>
      </c>
      <c r="X113" s="272">
        <f t="shared" si="48"/>
        <v>0.88771665410700829</v>
      </c>
      <c r="Y113" s="272">
        <f t="shared" si="44"/>
        <v>9.0429540316503396E-2</v>
      </c>
      <c r="Z113" s="272">
        <f t="shared" si="40"/>
        <v>-2.1853805576488319E-2</v>
      </c>
      <c r="AA113" s="272">
        <f t="shared" si="49"/>
        <v>0.55518394648829428</v>
      </c>
      <c r="AB113" s="272">
        <f t="shared" si="45"/>
        <v>0.24247491638795987</v>
      </c>
      <c r="AC113" s="272">
        <f t="shared" si="41"/>
        <v>-0.20234113712374582</v>
      </c>
    </row>
    <row r="114" spans="1:29">
      <c r="A114" s="116" t="s">
        <v>207</v>
      </c>
      <c r="B114" s="105">
        <v>1561000</v>
      </c>
      <c r="C114" s="9">
        <v>1252000</v>
      </c>
      <c r="D114" s="9">
        <v>196000</v>
      </c>
      <c r="E114" s="9">
        <v>113000</v>
      </c>
      <c r="F114" s="9">
        <v>65000</v>
      </c>
      <c r="G114" s="9">
        <v>50000</v>
      </c>
      <c r="H114" s="9">
        <v>9000</v>
      </c>
      <c r="I114" s="9">
        <v>7000</v>
      </c>
      <c r="J114" s="9">
        <v>1102000</v>
      </c>
      <c r="K114" s="9">
        <v>975000</v>
      </c>
      <c r="L114" s="9">
        <v>99000</v>
      </c>
      <c r="M114" s="9">
        <v>27000</v>
      </c>
      <c r="N114" s="9">
        <v>394000</v>
      </c>
      <c r="O114" s="9">
        <v>227000</v>
      </c>
      <c r="P114" s="9">
        <v>88000</v>
      </c>
      <c r="Q114" s="265">
        <v>80000</v>
      </c>
      <c r="R114" s="272">
        <f t="shared" si="46"/>
        <v>0.80204996796925043</v>
      </c>
      <c r="S114" s="272">
        <f t="shared" si="42"/>
        <v>0.12556053811659193</v>
      </c>
      <c r="T114" s="272">
        <f t="shared" si="38"/>
        <v>-7.2389493914157596E-2</v>
      </c>
      <c r="U114" s="272">
        <f t="shared" si="47"/>
        <v>0.76923076923076927</v>
      </c>
      <c r="V114" s="272">
        <f t="shared" si="43"/>
        <v>0.13846153846153847</v>
      </c>
      <c r="W114" s="272">
        <f t="shared" si="39"/>
        <v>-0.1076923076923077</v>
      </c>
      <c r="X114" s="272">
        <f t="shared" si="48"/>
        <v>0.88475499092558985</v>
      </c>
      <c r="Y114" s="272">
        <f t="shared" si="44"/>
        <v>8.9836660617059888E-2</v>
      </c>
      <c r="Z114" s="272">
        <f t="shared" si="40"/>
        <v>-2.4500907441016333E-2</v>
      </c>
      <c r="AA114" s="272">
        <f t="shared" si="49"/>
        <v>0.57614213197969544</v>
      </c>
      <c r="AB114" s="272">
        <f t="shared" si="45"/>
        <v>0.2233502538071066</v>
      </c>
      <c r="AC114" s="272">
        <f t="shared" si="41"/>
        <v>-0.20304568527918782</v>
      </c>
    </row>
    <row r="115" spans="1:29">
      <c r="A115" s="116" t="s">
        <v>208</v>
      </c>
      <c r="B115" s="105">
        <v>244000</v>
      </c>
      <c r="C115" s="9">
        <v>177000</v>
      </c>
      <c r="D115" s="9">
        <v>40000</v>
      </c>
      <c r="E115" s="9">
        <v>26000</v>
      </c>
      <c r="F115" s="9">
        <v>14000</v>
      </c>
      <c r="G115" s="9">
        <v>7000</v>
      </c>
      <c r="H115" s="9">
        <v>3000</v>
      </c>
      <c r="I115" s="9">
        <v>5000</v>
      </c>
      <c r="J115" s="9">
        <v>133000</v>
      </c>
      <c r="K115" s="9">
        <v>118000</v>
      </c>
      <c r="L115" s="9">
        <v>15000</v>
      </c>
      <c r="M115" s="13" t="s">
        <v>191</v>
      </c>
      <c r="N115" s="9">
        <v>97000</v>
      </c>
      <c r="O115" s="9">
        <v>53000</v>
      </c>
      <c r="P115" s="9">
        <v>23000</v>
      </c>
      <c r="Q115" s="265">
        <v>21000</v>
      </c>
      <c r="R115" s="272">
        <f t="shared" si="46"/>
        <v>0.72540983606557374</v>
      </c>
      <c r="S115" s="272">
        <f t="shared" si="42"/>
        <v>0.16393442622950818</v>
      </c>
      <c r="T115" s="272">
        <f t="shared" si="38"/>
        <v>-0.10655737704918032</v>
      </c>
      <c r="U115" s="272">
        <f t="shared" si="47"/>
        <v>0.5</v>
      </c>
      <c r="V115" s="272">
        <f t="shared" si="43"/>
        <v>0.21428571428571427</v>
      </c>
      <c r="W115" s="272">
        <f t="shared" si="39"/>
        <v>-0.35714285714285715</v>
      </c>
      <c r="X115" s="272">
        <f t="shared" si="48"/>
        <v>0.88721804511278191</v>
      </c>
      <c r="Y115" s="272">
        <f t="shared" si="44"/>
        <v>0.11278195488721804</v>
      </c>
      <c r="Z115" s="272" t="e">
        <f t="shared" si="40"/>
        <v>#VALUE!</v>
      </c>
      <c r="AA115" s="272">
        <f t="shared" si="49"/>
        <v>0.54639175257731953</v>
      </c>
      <c r="AB115" s="272">
        <f t="shared" si="45"/>
        <v>0.23711340206185566</v>
      </c>
      <c r="AC115" s="272">
        <f t="shared" si="41"/>
        <v>-0.21649484536082475</v>
      </c>
    </row>
    <row r="116" spans="1:29">
      <c r="A116" s="116" t="s">
        <v>209</v>
      </c>
      <c r="B116" s="105">
        <v>86000</v>
      </c>
      <c r="C116" s="9">
        <v>61000</v>
      </c>
      <c r="D116" s="9">
        <v>16000</v>
      </c>
      <c r="E116" s="9">
        <v>9000</v>
      </c>
      <c r="F116" s="9">
        <v>48000</v>
      </c>
      <c r="G116" s="9">
        <v>41000</v>
      </c>
      <c r="H116" s="9">
        <v>6000</v>
      </c>
      <c r="I116" s="13" t="s">
        <v>191</v>
      </c>
      <c r="J116" s="9">
        <v>13000</v>
      </c>
      <c r="K116" s="9">
        <v>9000</v>
      </c>
      <c r="L116" s="9">
        <v>4000</v>
      </c>
      <c r="M116" s="13" t="s">
        <v>220</v>
      </c>
      <c r="N116" s="9">
        <v>25000</v>
      </c>
      <c r="O116" s="9">
        <v>11000</v>
      </c>
      <c r="P116" s="9">
        <v>6000</v>
      </c>
      <c r="Q116" s="265">
        <v>8000</v>
      </c>
      <c r="R116" s="272">
        <f t="shared" si="46"/>
        <v>0.70930232558139539</v>
      </c>
      <c r="S116" s="272">
        <f t="shared" si="42"/>
        <v>0.18604651162790697</v>
      </c>
      <c r="T116" s="272">
        <f t="shared" si="38"/>
        <v>-0.10465116279069768</v>
      </c>
      <c r="U116" s="272">
        <f t="shared" si="47"/>
        <v>0.85416666666666663</v>
      </c>
      <c r="V116" s="272">
        <f t="shared" si="43"/>
        <v>0.125</v>
      </c>
      <c r="W116" s="272" t="e">
        <f t="shared" si="39"/>
        <v>#VALUE!</v>
      </c>
      <c r="X116" s="272">
        <f t="shared" si="48"/>
        <v>0.69230769230769229</v>
      </c>
      <c r="Y116" s="272">
        <f t="shared" si="44"/>
        <v>0.30769230769230771</v>
      </c>
      <c r="Z116" s="272" t="e">
        <f t="shared" si="40"/>
        <v>#VALUE!</v>
      </c>
      <c r="AA116" s="272">
        <f t="shared" si="49"/>
        <v>0.44</v>
      </c>
      <c r="AB116" s="272">
        <f t="shared" si="45"/>
        <v>0.24</v>
      </c>
      <c r="AC116" s="272">
        <f t="shared" si="41"/>
        <v>-0.32</v>
      </c>
    </row>
    <row r="117" spans="1:29">
      <c r="A117" s="116" t="s">
        <v>210</v>
      </c>
      <c r="B117" s="105">
        <v>189000</v>
      </c>
      <c r="C117" s="9">
        <v>140000</v>
      </c>
      <c r="D117" s="9">
        <v>35000</v>
      </c>
      <c r="E117" s="9">
        <v>15000</v>
      </c>
      <c r="F117" s="9">
        <v>28000</v>
      </c>
      <c r="G117" s="9">
        <v>22000</v>
      </c>
      <c r="H117" s="9">
        <v>4000</v>
      </c>
      <c r="I117" s="13" t="s">
        <v>191</v>
      </c>
      <c r="J117" s="9">
        <v>80000</v>
      </c>
      <c r="K117" s="9">
        <v>77000</v>
      </c>
      <c r="L117" s="9">
        <v>2000</v>
      </c>
      <c r="M117" s="13" t="s">
        <v>220</v>
      </c>
      <c r="N117" s="9">
        <v>81000</v>
      </c>
      <c r="O117" s="9">
        <v>41000</v>
      </c>
      <c r="P117" s="9">
        <v>29000</v>
      </c>
      <c r="Q117" s="265">
        <v>12000</v>
      </c>
      <c r="R117" s="272">
        <f t="shared" si="46"/>
        <v>0.7407407407407407</v>
      </c>
      <c r="S117" s="272">
        <f t="shared" si="42"/>
        <v>0.18518518518518517</v>
      </c>
      <c r="T117" s="272">
        <f t="shared" si="38"/>
        <v>-7.9365079365079361E-2</v>
      </c>
      <c r="U117" s="272">
        <f t="shared" si="47"/>
        <v>0.7857142857142857</v>
      </c>
      <c r="V117" s="272">
        <f t="shared" si="43"/>
        <v>0.14285714285714285</v>
      </c>
      <c r="W117" s="272" t="e">
        <f t="shared" si="39"/>
        <v>#VALUE!</v>
      </c>
      <c r="X117" s="272">
        <f t="shared" si="48"/>
        <v>0.96250000000000002</v>
      </c>
      <c r="Y117" s="272">
        <f t="shared" si="44"/>
        <v>2.5000000000000001E-2</v>
      </c>
      <c r="Z117" s="272" t="e">
        <f t="shared" si="40"/>
        <v>#VALUE!</v>
      </c>
      <c r="AA117" s="272">
        <f t="shared" si="49"/>
        <v>0.50617283950617287</v>
      </c>
      <c r="AB117" s="272">
        <f t="shared" si="45"/>
        <v>0.35802469135802467</v>
      </c>
      <c r="AC117" s="272">
        <f t="shared" si="41"/>
        <v>-0.14814814814814814</v>
      </c>
    </row>
    <row r="118" spans="1:29">
      <c r="A118" s="115" t="s">
        <v>211</v>
      </c>
      <c r="B118" s="105">
        <v>8928000</v>
      </c>
      <c r="C118" s="9">
        <v>5649000</v>
      </c>
      <c r="D118" s="9">
        <v>2122000</v>
      </c>
      <c r="E118" s="9">
        <v>1157000</v>
      </c>
      <c r="F118" s="9">
        <v>584000</v>
      </c>
      <c r="G118" s="9">
        <v>264000</v>
      </c>
      <c r="H118" s="9">
        <v>224000</v>
      </c>
      <c r="I118" s="9">
        <v>96000</v>
      </c>
      <c r="J118" s="9">
        <v>699000</v>
      </c>
      <c r="K118" s="9">
        <v>421000</v>
      </c>
      <c r="L118" s="9">
        <v>182000</v>
      </c>
      <c r="M118" s="9">
        <v>97000</v>
      </c>
      <c r="N118" s="9">
        <v>7644000</v>
      </c>
      <c r="O118" s="9">
        <v>4964000</v>
      </c>
      <c r="P118" s="9">
        <v>1716000</v>
      </c>
      <c r="Q118" s="265">
        <v>964000</v>
      </c>
      <c r="R118" s="272">
        <f t="shared" si="46"/>
        <v>0.63272849462365588</v>
      </c>
      <c r="S118" s="272">
        <f t="shared" si="42"/>
        <v>0.23767921146953405</v>
      </c>
      <c r="T118" s="272">
        <f t="shared" si="38"/>
        <v>-0.12959229390681004</v>
      </c>
      <c r="U118" s="272">
        <f t="shared" si="47"/>
        <v>0.45205479452054792</v>
      </c>
      <c r="V118" s="272">
        <f t="shared" si="43"/>
        <v>0.38356164383561642</v>
      </c>
      <c r="W118" s="272">
        <f t="shared" si="39"/>
        <v>-0.16438356164383561</v>
      </c>
      <c r="X118" s="272">
        <f t="shared" si="48"/>
        <v>0.60228898426323318</v>
      </c>
      <c r="Y118" s="272">
        <f t="shared" si="44"/>
        <v>0.2603719599427754</v>
      </c>
      <c r="Z118" s="272">
        <f t="shared" si="40"/>
        <v>-0.13876967095851217</v>
      </c>
      <c r="AA118" s="272">
        <f t="shared" si="49"/>
        <v>0.64939822082679222</v>
      </c>
      <c r="AB118" s="272">
        <f t="shared" si="45"/>
        <v>0.22448979591836735</v>
      </c>
      <c r="AC118" s="272">
        <f t="shared" si="41"/>
        <v>-0.12611198325484041</v>
      </c>
    </row>
    <row r="119" spans="1:29">
      <c r="A119" s="116" t="s">
        <v>212</v>
      </c>
      <c r="B119" s="105">
        <v>3311000</v>
      </c>
      <c r="C119" s="9">
        <v>1767000</v>
      </c>
      <c r="D119" s="9">
        <v>1135000</v>
      </c>
      <c r="E119" s="9">
        <v>409000</v>
      </c>
      <c r="F119" s="9">
        <v>349000</v>
      </c>
      <c r="G119" s="9">
        <v>139000</v>
      </c>
      <c r="H119" s="9">
        <v>169000</v>
      </c>
      <c r="I119" s="9">
        <v>41000</v>
      </c>
      <c r="J119" s="9">
        <v>262000</v>
      </c>
      <c r="K119" s="9">
        <v>125000</v>
      </c>
      <c r="L119" s="9">
        <v>94000</v>
      </c>
      <c r="M119" s="9">
        <v>44000</v>
      </c>
      <c r="N119" s="9">
        <v>2700000</v>
      </c>
      <c r="O119" s="9">
        <v>1503000</v>
      </c>
      <c r="P119" s="9">
        <v>872000</v>
      </c>
      <c r="Q119" s="265">
        <v>325000</v>
      </c>
      <c r="R119" s="272">
        <f t="shared" si="46"/>
        <v>0.53367562669888247</v>
      </c>
      <c r="S119" s="272">
        <f t="shared" si="42"/>
        <v>0.34279673814557537</v>
      </c>
      <c r="T119" s="272">
        <f t="shared" si="38"/>
        <v>-0.12352763515554213</v>
      </c>
      <c r="U119" s="272">
        <f t="shared" si="47"/>
        <v>0.39828080229226359</v>
      </c>
      <c r="V119" s="272">
        <f t="shared" si="43"/>
        <v>0.48424068767908307</v>
      </c>
      <c r="W119" s="272">
        <f t="shared" si="39"/>
        <v>-0.1174785100286533</v>
      </c>
      <c r="X119" s="272">
        <f t="shared" si="48"/>
        <v>0.47709923664122139</v>
      </c>
      <c r="Y119" s="272">
        <f t="shared" si="44"/>
        <v>0.35877862595419846</v>
      </c>
      <c r="Z119" s="272">
        <f t="shared" si="40"/>
        <v>-0.16793893129770993</v>
      </c>
      <c r="AA119" s="272">
        <f t="shared" si="49"/>
        <v>0.55666666666666664</v>
      </c>
      <c r="AB119" s="272">
        <f t="shared" si="45"/>
        <v>0.32296296296296295</v>
      </c>
      <c r="AC119" s="272">
        <f t="shared" si="41"/>
        <v>-0.12037037037037036</v>
      </c>
    </row>
    <row r="120" spans="1:29">
      <c r="A120" s="153" t="s">
        <v>213</v>
      </c>
      <c r="B120" s="105">
        <v>2888000</v>
      </c>
      <c r="C120" s="9">
        <v>2233000</v>
      </c>
      <c r="D120" s="9">
        <v>396000</v>
      </c>
      <c r="E120" s="9">
        <v>259000</v>
      </c>
      <c r="F120" s="9">
        <v>53000</v>
      </c>
      <c r="G120" s="9">
        <v>34000</v>
      </c>
      <c r="H120" s="9">
        <v>13000</v>
      </c>
      <c r="I120" s="9">
        <v>6000</v>
      </c>
      <c r="J120" s="9">
        <v>285000</v>
      </c>
      <c r="K120" s="9">
        <v>236000</v>
      </c>
      <c r="L120" s="9">
        <v>41000</v>
      </c>
      <c r="M120" s="9">
        <v>8000</v>
      </c>
      <c r="N120" s="9">
        <v>2550000</v>
      </c>
      <c r="O120" s="9">
        <v>1963000</v>
      </c>
      <c r="P120" s="9">
        <v>343000</v>
      </c>
      <c r="Q120" s="265">
        <v>244000</v>
      </c>
      <c r="R120" s="272">
        <f t="shared" si="46"/>
        <v>0.77319944598337953</v>
      </c>
      <c r="S120" s="272">
        <f t="shared" si="42"/>
        <v>0.1371191135734072</v>
      </c>
      <c r="T120" s="272">
        <f t="shared" si="38"/>
        <v>-8.9681440443213301E-2</v>
      </c>
      <c r="U120" s="272">
        <f t="shared" si="47"/>
        <v>0.64150943396226412</v>
      </c>
      <c r="V120" s="272">
        <f t="shared" si="43"/>
        <v>0.24528301886792453</v>
      </c>
      <c r="W120" s="272">
        <f t="shared" si="39"/>
        <v>-0.11320754716981132</v>
      </c>
      <c r="X120" s="272">
        <f t="shared" si="48"/>
        <v>0.82807017543859651</v>
      </c>
      <c r="Y120" s="272">
        <f t="shared" si="44"/>
        <v>0.14385964912280702</v>
      </c>
      <c r="Z120" s="272">
        <f t="shared" si="40"/>
        <v>-2.8070175438596492E-2</v>
      </c>
      <c r="AA120" s="272">
        <f t="shared" si="49"/>
        <v>0.76980392156862743</v>
      </c>
      <c r="AB120" s="272">
        <f t="shared" si="45"/>
        <v>0.13450980392156864</v>
      </c>
      <c r="AC120" s="272">
        <f t="shared" si="41"/>
        <v>-9.5686274509803923E-2</v>
      </c>
    </row>
    <row r="121" spans="1:29">
      <c r="A121" s="116" t="s">
        <v>214</v>
      </c>
      <c r="B121" s="105">
        <v>841000</v>
      </c>
      <c r="C121" s="9">
        <v>611000</v>
      </c>
      <c r="D121" s="9">
        <v>111000</v>
      </c>
      <c r="E121" s="9">
        <v>118000</v>
      </c>
      <c r="F121" s="9">
        <v>39000</v>
      </c>
      <c r="G121" s="9">
        <v>15000</v>
      </c>
      <c r="H121" s="9">
        <v>4000</v>
      </c>
      <c r="I121" s="13" t="s">
        <v>191</v>
      </c>
      <c r="J121" s="9">
        <v>45000</v>
      </c>
      <c r="K121" s="9">
        <v>19000</v>
      </c>
      <c r="L121" s="9">
        <v>14000</v>
      </c>
      <c r="M121" s="9">
        <v>11000</v>
      </c>
      <c r="N121" s="9">
        <v>757000</v>
      </c>
      <c r="O121" s="9">
        <v>578000</v>
      </c>
      <c r="P121" s="9">
        <v>93000</v>
      </c>
      <c r="Q121" s="265">
        <v>86000</v>
      </c>
      <c r="R121" s="272">
        <f t="shared" si="46"/>
        <v>0.72651605231866823</v>
      </c>
      <c r="S121" s="272">
        <f t="shared" si="42"/>
        <v>0.13198573127229488</v>
      </c>
      <c r="T121" s="272">
        <f t="shared" si="38"/>
        <v>-0.14030915576694411</v>
      </c>
      <c r="U121" s="272">
        <f t="shared" si="47"/>
        <v>0.38461538461538464</v>
      </c>
      <c r="V121" s="272">
        <f t="shared" si="43"/>
        <v>0.10256410256410256</v>
      </c>
      <c r="W121" s="272" t="e">
        <f t="shared" si="39"/>
        <v>#VALUE!</v>
      </c>
      <c r="X121" s="272">
        <f t="shared" si="48"/>
        <v>0.42222222222222222</v>
      </c>
      <c r="Y121" s="272">
        <f t="shared" si="44"/>
        <v>0.31111111111111112</v>
      </c>
      <c r="Z121" s="272">
        <f t="shared" si="40"/>
        <v>-0.24444444444444444</v>
      </c>
      <c r="AA121" s="272">
        <f t="shared" si="49"/>
        <v>0.76354029062087181</v>
      </c>
      <c r="AB121" s="272">
        <f t="shared" si="45"/>
        <v>0.12285336856010567</v>
      </c>
      <c r="AC121" s="272">
        <f t="shared" si="41"/>
        <v>-0.11360634081902246</v>
      </c>
    </row>
    <row r="122" spans="1:29">
      <c r="A122" s="116" t="s">
        <v>215</v>
      </c>
      <c r="B122" s="105">
        <v>210000</v>
      </c>
      <c r="C122" s="9">
        <v>108000</v>
      </c>
      <c r="D122" s="9">
        <v>71000</v>
      </c>
      <c r="E122" s="9">
        <v>31000</v>
      </c>
      <c r="F122" s="9">
        <v>17000</v>
      </c>
      <c r="G122" s="9">
        <v>6000</v>
      </c>
      <c r="H122" s="9">
        <v>6000</v>
      </c>
      <c r="I122" s="13" t="s">
        <v>191</v>
      </c>
      <c r="J122" s="9">
        <v>11000</v>
      </c>
      <c r="K122" s="13" t="s">
        <v>191</v>
      </c>
      <c r="L122" s="13" t="s">
        <v>191</v>
      </c>
      <c r="M122" s="13" t="s">
        <v>220</v>
      </c>
      <c r="N122" s="9">
        <v>183000</v>
      </c>
      <c r="O122" s="9">
        <v>98000</v>
      </c>
      <c r="P122" s="9">
        <v>63000</v>
      </c>
      <c r="Q122" s="265">
        <v>22000</v>
      </c>
      <c r="R122" s="272">
        <f t="shared" si="46"/>
        <v>0.51428571428571423</v>
      </c>
      <c r="S122" s="272">
        <f t="shared" si="42"/>
        <v>0.33809523809523812</v>
      </c>
      <c r="T122" s="272">
        <f t="shared" si="38"/>
        <v>-0.14761904761904762</v>
      </c>
      <c r="U122" s="272">
        <f t="shared" si="47"/>
        <v>0.35294117647058826</v>
      </c>
      <c r="V122" s="272">
        <f t="shared" si="43"/>
        <v>0.35294117647058826</v>
      </c>
      <c r="W122" s="272" t="e">
        <f t="shared" si="39"/>
        <v>#VALUE!</v>
      </c>
      <c r="X122" s="272" t="e">
        <f t="shared" si="48"/>
        <v>#VALUE!</v>
      </c>
      <c r="Y122" s="272" t="e">
        <f t="shared" si="44"/>
        <v>#VALUE!</v>
      </c>
      <c r="Z122" s="272" t="e">
        <f t="shared" si="40"/>
        <v>#VALUE!</v>
      </c>
      <c r="AA122" s="272">
        <f t="shared" si="49"/>
        <v>0.53551912568306015</v>
      </c>
      <c r="AB122" s="272">
        <f t="shared" si="45"/>
        <v>0.34426229508196721</v>
      </c>
      <c r="AC122" s="272">
        <f t="shared" si="41"/>
        <v>-0.12021857923497267</v>
      </c>
    </row>
    <row r="123" spans="1:29">
      <c r="A123" s="116" t="s">
        <v>216</v>
      </c>
      <c r="B123" s="105">
        <v>740000</v>
      </c>
      <c r="C123" s="9">
        <v>412000</v>
      </c>
      <c r="D123" s="9">
        <v>150000</v>
      </c>
      <c r="E123" s="9">
        <v>178000</v>
      </c>
      <c r="F123" s="9">
        <v>38000</v>
      </c>
      <c r="G123" s="9">
        <v>12000</v>
      </c>
      <c r="H123" s="9">
        <v>15000</v>
      </c>
      <c r="I123" s="9">
        <v>11000</v>
      </c>
      <c r="J123" s="9">
        <v>48000</v>
      </c>
      <c r="K123" s="9">
        <v>20000</v>
      </c>
      <c r="L123" s="13" t="s">
        <v>191</v>
      </c>
      <c r="M123" s="9">
        <v>22000</v>
      </c>
      <c r="N123" s="9">
        <v>654000</v>
      </c>
      <c r="O123" s="9">
        <v>380000</v>
      </c>
      <c r="P123" s="9">
        <v>129000</v>
      </c>
      <c r="Q123" s="265">
        <v>145000</v>
      </c>
      <c r="R123" s="272">
        <f t="shared" si="46"/>
        <v>0.55675675675675673</v>
      </c>
      <c r="S123" s="272">
        <f t="shared" si="42"/>
        <v>0.20270270270270271</v>
      </c>
      <c r="T123" s="272">
        <f t="shared" si="38"/>
        <v>-0.24054054054054055</v>
      </c>
      <c r="U123" s="272">
        <f t="shared" si="47"/>
        <v>0.31578947368421051</v>
      </c>
      <c r="V123" s="272">
        <f t="shared" si="43"/>
        <v>0.39473684210526316</v>
      </c>
      <c r="W123" s="272">
        <f t="shared" si="39"/>
        <v>-0.28947368421052633</v>
      </c>
      <c r="X123" s="272">
        <f t="shared" si="48"/>
        <v>0.41666666666666669</v>
      </c>
      <c r="Y123" s="272" t="e">
        <f t="shared" si="44"/>
        <v>#VALUE!</v>
      </c>
      <c r="Z123" s="272">
        <f t="shared" si="40"/>
        <v>-0.45833333333333331</v>
      </c>
      <c r="AA123" s="272">
        <f t="shared" si="49"/>
        <v>0.58103975535168195</v>
      </c>
      <c r="AB123" s="272">
        <f t="shared" si="45"/>
        <v>0.19724770642201836</v>
      </c>
      <c r="AC123" s="272">
        <f t="shared" si="41"/>
        <v>-0.22171253822629969</v>
      </c>
    </row>
    <row r="124" spans="1:29">
      <c r="A124" s="116" t="s">
        <v>217</v>
      </c>
      <c r="B124" s="105">
        <v>938000</v>
      </c>
      <c r="C124" s="9">
        <v>517000</v>
      </c>
      <c r="D124" s="9">
        <v>260000</v>
      </c>
      <c r="E124" s="9">
        <v>161000</v>
      </c>
      <c r="F124" s="9">
        <v>89000</v>
      </c>
      <c r="G124" s="9">
        <v>58000</v>
      </c>
      <c r="H124" s="9">
        <v>19000</v>
      </c>
      <c r="I124" s="9">
        <v>12000</v>
      </c>
      <c r="J124" s="9">
        <v>49000</v>
      </c>
      <c r="K124" s="9">
        <v>18000</v>
      </c>
      <c r="L124" s="9">
        <v>24000</v>
      </c>
      <c r="M124" s="13" t="s">
        <v>191</v>
      </c>
      <c r="N124" s="9">
        <v>800000</v>
      </c>
      <c r="O124" s="9">
        <v>442000</v>
      </c>
      <c r="P124" s="9">
        <v>217000</v>
      </c>
      <c r="Q124" s="265">
        <v>141000</v>
      </c>
      <c r="R124" s="272">
        <f t="shared" si="46"/>
        <v>0.55117270788912576</v>
      </c>
      <c r="S124" s="272">
        <f t="shared" si="42"/>
        <v>0.27718550106609807</v>
      </c>
      <c r="T124" s="272">
        <f t="shared" si="38"/>
        <v>-0.17164179104477612</v>
      </c>
      <c r="U124" s="272">
        <f t="shared" si="47"/>
        <v>0.651685393258427</v>
      </c>
      <c r="V124" s="272">
        <f t="shared" si="43"/>
        <v>0.21348314606741572</v>
      </c>
      <c r="W124" s="272">
        <f t="shared" si="39"/>
        <v>-0.1348314606741573</v>
      </c>
      <c r="X124" s="272">
        <f t="shared" si="48"/>
        <v>0.36734693877551022</v>
      </c>
      <c r="Y124" s="272">
        <f t="shared" si="44"/>
        <v>0.48979591836734693</v>
      </c>
      <c r="Z124" s="272" t="e">
        <f t="shared" si="40"/>
        <v>#VALUE!</v>
      </c>
      <c r="AA124" s="272">
        <f t="shared" si="49"/>
        <v>0.55249999999999999</v>
      </c>
      <c r="AB124" s="272">
        <f t="shared" si="45"/>
        <v>0.27124999999999999</v>
      </c>
      <c r="AC124" s="272">
        <f t="shared" si="41"/>
        <v>-0.17624999999999999</v>
      </c>
    </row>
    <row r="125" spans="1:29">
      <c r="A125" s="135" t="s">
        <v>221</v>
      </c>
      <c r="B125" s="136">
        <v>2141000</v>
      </c>
      <c r="C125" s="137">
        <v>1707000</v>
      </c>
      <c r="D125" s="137">
        <v>320000</v>
      </c>
      <c r="E125" s="137">
        <v>114000</v>
      </c>
      <c r="F125" s="137">
        <v>962000</v>
      </c>
      <c r="G125" s="137">
        <v>823000</v>
      </c>
      <c r="H125" s="137">
        <v>124000</v>
      </c>
      <c r="I125" s="137">
        <v>15000</v>
      </c>
      <c r="J125" s="137">
        <v>374000</v>
      </c>
      <c r="K125" s="137">
        <v>309000</v>
      </c>
      <c r="L125" s="137">
        <v>53000</v>
      </c>
      <c r="M125" s="137">
        <v>11000</v>
      </c>
      <c r="N125" s="137">
        <v>805000</v>
      </c>
      <c r="O125" s="137">
        <v>574000</v>
      </c>
      <c r="P125" s="137">
        <v>143000</v>
      </c>
      <c r="Q125" s="270">
        <v>88000</v>
      </c>
      <c r="R125" s="272">
        <f t="shared" si="46"/>
        <v>0.7972909855207847</v>
      </c>
      <c r="S125" s="272">
        <f t="shared" si="42"/>
        <v>0.14946286781877627</v>
      </c>
      <c r="T125" s="272">
        <f t="shared" si="38"/>
        <v>-5.3246146660439045E-2</v>
      </c>
      <c r="U125" s="272">
        <f t="shared" si="47"/>
        <v>0.85550935550935547</v>
      </c>
      <c r="V125" s="272">
        <f t="shared" si="43"/>
        <v>0.12889812889812891</v>
      </c>
      <c r="W125" s="272">
        <f t="shared" si="39"/>
        <v>-1.5592515592515593E-2</v>
      </c>
      <c r="X125" s="272">
        <f t="shared" si="48"/>
        <v>0.8262032085561497</v>
      </c>
      <c r="Y125" s="272">
        <f t="shared" si="44"/>
        <v>0.14171122994652408</v>
      </c>
      <c r="Z125" s="272">
        <f t="shared" si="40"/>
        <v>-2.9411764705882353E-2</v>
      </c>
      <c r="AA125" s="272">
        <f t="shared" si="49"/>
        <v>0.71304347826086956</v>
      </c>
      <c r="AB125" s="272">
        <f t="shared" si="45"/>
        <v>0.17763975155279504</v>
      </c>
      <c r="AC125" s="272">
        <f t="shared" si="41"/>
        <v>-0.1093167701863354</v>
      </c>
    </row>
    <row r="126" spans="1:29">
      <c r="A126" s="138" t="s">
        <v>178</v>
      </c>
      <c r="B126" s="105">
        <v>1302000</v>
      </c>
      <c r="C126" s="9">
        <v>1030000</v>
      </c>
      <c r="D126" s="9">
        <v>217000</v>
      </c>
      <c r="E126" s="9">
        <v>56000</v>
      </c>
      <c r="F126" s="9">
        <v>861000</v>
      </c>
      <c r="G126" s="9">
        <v>735000</v>
      </c>
      <c r="H126" s="9">
        <v>113000</v>
      </c>
      <c r="I126" s="9">
        <v>12000</v>
      </c>
      <c r="J126" s="9">
        <v>157000</v>
      </c>
      <c r="K126" s="9">
        <v>116000</v>
      </c>
      <c r="L126" s="9">
        <v>34000</v>
      </c>
      <c r="M126" s="9">
        <v>7000</v>
      </c>
      <c r="N126" s="9">
        <v>285000</v>
      </c>
      <c r="O126" s="9">
        <v>179000</v>
      </c>
      <c r="P126" s="9">
        <v>69000</v>
      </c>
      <c r="Q126" s="265">
        <v>37000</v>
      </c>
      <c r="R126" s="272">
        <f t="shared" si="46"/>
        <v>0.7910906298003072</v>
      </c>
      <c r="S126" s="272">
        <f t="shared" si="46"/>
        <v>0.16666666666666666</v>
      </c>
      <c r="T126" s="272">
        <f t="shared" si="38"/>
        <v>-4.3010752688172046E-2</v>
      </c>
      <c r="U126" s="272">
        <f t="shared" si="47"/>
        <v>0.85365853658536583</v>
      </c>
      <c r="V126" s="272">
        <f t="shared" si="47"/>
        <v>0.13124274099883856</v>
      </c>
      <c r="W126" s="272">
        <f t="shared" si="39"/>
        <v>-1.3937282229965157E-2</v>
      </c>
      <c r="X126" s="272">
        <f t="shared" si="48"/>
        <v>0.73885350318471332</v>
      </c>
      <c r="Y126" s="272">
        <f t="shared" si="48"/>
        <v>0.21656050955414013</v>
      </c>
      <c r="Z126" s="272">
        <f t="shared" si="40"/>
        <v>-4.4585987261146494E-2</v>
      </c>
      <c r="AA126" s="272">
        <f t="shared" si="49"/>
        <v>0.62807017543859645</v>
      </c>
      <c r="AB126" s="272">
        <f t="shared" si="49"/>
        <v>0.24210526315789474</v>
      </c>
      <c r="AC126" s="272">
        <f t="shared" si="41"/>
        <v>-0.12982456140350876</v>
      </c>
    </row>
    <row r="127" spans="1:29">
      <c r="A127" s="154" t="s">
        <v>179</v>
      </c>
      <c r="B127" s="105">
        <v>380000</v>
      </c>
      <c r="C127" s="9">
        <v>309000</v>
      </c>
      <c r="D127" s="9">
        <v>59000</v>
      </c>
      <c r="E127" s="9">
        <v>12000</v>
      </c>
      <c r="F127" s="9">
        <v>240000</v>
      </c>
      <c r="G127" s="9">
        <v>210000</v>
      </c>
      <c r="H127" s="9">
        <v>28000</v>
      </c>
      <c r="I127" s="9">
        <v>2000</v>
      </c>
      <c r="J127" s="9">
        <v>74000</v>
      </c>
      <c r="K127" s="9">
        <v>56000</v>
      </c>
      <c r="L127" s="9">
        <v>13000</v>
      </c>
      <c r="M127" s="9">
        <v>5000</v>
      </c>
      <c r="N127" s="9">
        <v>66000</v>
      </c>
      <c r="O127" s="9">
        <v>43000</v>
      </c>
      <c r="P127" s="9">
        <v>18000</v>
      </c>
      <c r="Q127" s="265">
        <v>5000</v>
      </c>
      <c r="R127" s="272">
        <f t="shared" si="46"/>
        <v>0.81315789473684208</v>
      </c>
      <c r="S127" s="272">
        <f t="shared" si="46"/>
        <v>0.15526315789473685</v>
      </c>
      <c r="T127" s="272">
        <f t="shared" si="38"/>
        <v>-3.1578947368421054E-2</v>
      </c>
      <c r="U127" s="272">
        <f t="shared" si="47"/>
        <v>0.875</v>
      </c>
      <c r="V127" s="272">
        <f t="shared" si="47"/>
        <v>0.11666666666666667</v>
      </c>
      <c r="W127" s="272">
        <f t="shared" si="39"/>
        <v>-8.3333333333333332E-3</v>
      </c>
      <c r="X127" s="272">
        <f t="shared" si="48"/>
        <v>0.7567567567567568</v>
      </c>
      <c r="Y127" s="272">
        <f t="shared" si="48"/>
        <v>0.17567567567567569</v>
      </c>
      <c r="Z127" s="272">
        <f t="shared" si="40"/>
        <v>-6.7567567567567571E-2</v>
      </c>
      <c r="AA127" s="272">
        <f t="shared" si="49"/>
        <v>0.65151515151515149</v>
      </c>
      <c r="AB127" s="272">
        <f t="shared" si="49"/>
        <v>0.27272727272727271</v>
      </c>
      <c r="AC127" s="272">
        <f t="shared" si="41"/>
        <v>-7.575757575757576E-2</v>
      </c>
    </row>
    <row r="128" spans="1:29">
      <c r="A128" s="140" t="s">
        <v>180</v>
      </c>
      <c r="B128" s="105">
        <v>23000</v>
      </c>
      <c r="C128" s="9">
        <v>20000</v>
      </c>
      <c r="D128" s="9">
        <v>2000</v>
      </c>
      <c r="E128" s="13" t="s">
        <v>220</v>
      </c>
      <c r="F128" s="9">
        <v>14000</v>
      </c>
      <c r="G128" s="9">
        <v>13000</v>
      </c>
      <c r="H128" s="9">
        <v>1000</v>
      </c>
      <c r="I128" s="13" t="s">
        <v>220</v>
      </c>
      <c r="J128" s="9">
        <v>1000</v>
      </c>
      <c r="K128" s="9">
        <v>1000</v>
      </c>
      <c r="L128" s="13" t="s">
        <v>220</v>
      </c>
      <c r="M128" s="13" t="s">
        <v>220</v>
      </c>
      <c r="N128" s="9">
        <v>8000</v>
      </c>
      <c r="O128" s="13" t="s">
        <v>191</v>
      </c>
      <c r="P128" s="9">
        <v>1000</v>
      </c>
      <c r="Q128" s="269" t="s">
        <v>220</v>
      </c>
      <c r="R128" s="272">
        <f t="shared" si="46"/>
        <v>0.86956521739130432</v>
      </c>
      <c r="S128" s="272">
        <f t="shared" si="46"/>
        <v>8.6956521739130432E-2</v>
      </c>
      <c r="T128" s="272" t="e">
        <f t="shared" si="38"/>
        <v>#VALUE!</v>
      </c>
      <c r="U128" s="272">
        <f t="shared" si="47"/>
        <v>0.9285714285714286</v>
      </c>
      <c r="V128" s="272">
        <f t="shared" si="47"/>
        <v>7.1428571428571425E-2</v>
      </c>
      <c r="W128" s="272" t="e">
        <f t="shared" si="39"/>
        <v>#VALUE!</v>
      </c>
      <c r="X128" s="272">
        <f t="shared" si="48"/>
        <v>1</v>
      </c>
      <c r="Y128" s="272" t="e">
        <f t="shared" si="48"/>
        <v>#VALUE!</v>
      </c>
      <c r="Z128" s="272" t="e">
        <f t="shared" si="40"/>
        <v>#VALUE!</v>
      </c>
      <c r="AA128" s="272" t="e">
        <f t="shared" si="49"/>
        <v>#VALUE!</v>
      </c>
      <c r="AB128" s="272">
        <f t="shared" si="49"/>
        <v>0.125</v>
      </c>
      <c r="AC128" s="272" t="e">
        <f t="shared" si="41"/>
        <v>#VALUE!</v>
      </c>
    </row>
    <row r="129" spans="1:29">
      <c r="A129" s="140" t="s">
        <v>181</v>
      </c>
      <c r="B129" s="105">
        <v>350000</v>
      </c>
      <c r="C129" s="9">
        <v>283000</v>
      </c>
      <c r="D129" s="9">
        <v>56000</v>
      </c>
      <c r="E129" s="9">
        <v>11000</v>
      </c>
      <c r="F129" s="9">
        <v>221000</v>
      </c>
      <c r="G129" s="9">
        <v>192000</v>
      </c>
      <c r="H129" s="9">
        <v>27000</v>
      </c>
      <c r="I129" s="9">
        <v>2000</v>
      </c>
      <c r="J129" s="9">
        <v>72000</v>
      </c>
      <c r="K129" s="9">
        <v>55000</v>
      </c>
      <c r="L129" s="9">
        <v>13000</v>
      </c>
      <c r="M129" s="9">
        <v>4000</v>
      </c>
      <c r="N129" s="9">
        <v>56000</v>
      </c>
      <c r="O129" s="9">
        <v>37000</v>
      </c>
      <c r="P129" s="9">
        <v>16000</v>
      </c>
      <c r="Q129" s="265">
        <v>4000</v>
      </c>
      <c r="R129" s="272">
        <f t="shared" si="46"/>
        <v>0.80857142857142861</v>
      </c>
      <c r="S129" s="272">
        <f t="shared" si="46"/>
        <v>0.16</v>
      </c>
      <c r="T129" s="272">
        <f t="shared" si="38"/>
        <v>-3.1428571428571431E-2</v>
      </c>
      <c r="U129" s="272">
        <f t="shared" si="47"/>
        <v>0.86877828054298645</v>
      </c>
      <c r="V129" s="272">
        <f t="shared" si="47"/>
        <v>0.12217194570135746</v>
      </c>
      <c r="W129" s="272">
        <f t="shared" si="39"/>
        <v>-9.0497737556561094E-3</v>
      </c>
      <c r="X129" s="272">
        <f t="shared" si="48"/>
        <v>0.76388888888888884</v>
      </c>
      <c r="Y129" s="272">
        <f t="shared" si="48"/>
        <v>0.18055555555555555</v>
      </c>
      <c r="Z129" s="272">
        <f t="shared" si="40"/>
        <v>-5.5555555555555552E-2</v>
      </c>
      <c r="AA129" s="272">
        <f t="shared" si="49"/>
        <v>0.6607142857142857</v>
      </c>
      <c r="AB129" s="272">
        <f t="shared" si="49"/>
        <v>0.2857142857142857</v>
      </c>
      <c r="AC129" s="272">
        <f t="shared" si="41"/>
        <v>-7.1428571428571425E-2</v>
      </c>
    </row>
    <row r="130" spans="1:29">
      <c r="A130" s="140" t="s">
        <v>182</v>
      </c>
      <c r="B130" s="105">
        <v>7000</v>
      </c>
      <c r="C130" s="9">
        <v>6000</v>
      </c>
      <c r="D130" s="13" t="s">
        <v>191</v>
      </c>
      <c r="E130" s="13" t="s">
        <v>220</v>
      </c>
      <c r="F130" s="9">
        <v>5000</v>
      </c>
      <c r="G130" s="9">
        <v>5000</v>
      </c>
      <c r="H130" s="13" t="s">
        <v>220</v>
      </c>
      <c r="I130" s="13" t="s">
        <v>220</v>
      </c>
      <c r="J130" s="13" t="s">
        <v>222</v>
      </c>
      <c r="K130" s="13" t="s">
        <v>220</v>
      </c>
      <c r="L130" s="13" t="s">
        <v>220</v>
      </c>
      <c r="M130" s="13" t="s">
        <v>220</v>
      </c>
      <c r="N130" s="13" t="s">
        <v>191</v>
      </c>
      <c r="O130" s="13" t="s">
        <v>191</v>
      </c>
      <c r="P130" s="13" t="s">
        <v>220</v>
      </c>
      <c r="Q130" s="269" t="s">
        <v>220</v>
      </c>
      <c r="R130" s="272">
        <f t="shared" si="46"/>
        <v>0.8571428571428571</v>
      </c>
      <c r="S130" s="272" t="e">
        <f t="shared" si="46"/>
        <v>#VALUE!</v>
      </c>
      <c r="T130" s="272" t="e">
        <f t="shared" si="38"/>
        <v>#VALUE!</v>
      </c>
      <c r="U130" s="272">
        <f t="shared" si="47"/>
        <v>1</v>
      </c>
      <c r="V130" s="272" t="e">
        <f t="shared" si="47"/>
        <v>#VALUE!</v>
      </c>
      <c r="W130" s="272" t="e">
        <f t="shared" si="39"/>
        <v>#VALUE!</v>
      </c>
      <c r="X130" s="272" t="e">
        <f t="shared" si="48"/>
        <v>#VALUE!</v>
      </c>
      <c r="Y130" s="272" t="e">
        <f t="shared" si="48"/>
        <v>#VALUE!</v>
      </c>
      <c r="Z130" s="272" t="e">
        <f t="shared" si="40"/>
        <v>#VALUE!</v>
      </c>
      <c r="AA130" s="272" t="e">
        <f t="shared" si="49"/>
        <v>#VALUE!</v>
      </c>
      <c r="AB130" s="272" t="e">
        <f t="shared" si="49"/>
        <v>#VALUE!</v>
      </c>
      <c r="AC130" s="272" t="e">
        <f t="shared" si="41"/>
        <v>#VALUE!</v>
      </c>
    </row>
    <row r="131" spans="1:29">
      <c r="A131" s="139" t="s">
        <v>183</v>
      </c>
      <c r="B131" s="105">
        <v>127000</v>
      </c>
      <c r="C131" s="9">
        <v>104000</v>
      </c>
      <c r="D131" s="9">
        <v>20000</v>
      </c>
      <c r="E131" s="9">
        <v>2000</v>
      </c>
      <c r="F131" s="9">
        <v>98000</v>
      </c>
      <c r="G131" s="9">
        <v>81000</v>
      </c>
      <c r="H131" s="9">
        <v>15000</v>
      </c>
      <c r="I131" s="9">
        <v>2000</v>
      </c>
      <c r="J131" s="9">
        <v>10000</v>
      </c>
      <c r="K131" s="9">
        <v>8000</v>
      </c>
      <c r="L131" s="13" t="s">
        <v>191</v>
      </c>
      <c r="M131" s="13" t="s">
        <v>220</v>
      </c>
      <c r="N131" s="9">
        <v>19000</v>
      </c>
      <c r="O131" s="9">
        <v>14000</v>
      </c>
      <c r="P131" s="9">
        <v>4000</v>
      </c>
      <c r="Q131" s="269" t="s">
        <v>222</v>
      </c>
      <c r="R131" s="272">
        <f t="shared" si="46"/>
        <v>0.81889763779527558</v>
      </c>
      <c r="S131" s="272">
        <f t="shared" si="46"/>
        <v>0.15748031496062992</v>
      </c>
      <c r="T131" s="272">
        <f t="shared" si="38"/>
        <v>-1.5748031496062992E-2</v>
      </c>
      <c r="U131" s="272">
        <f t="shared" si="47"/>
        <v>0.82653061224489799</v>
      </c>
      <c r="V131" s="272">
        <f t="shared" si="47"/>
        <v>0.15306122448979592</v>
      </c>
      <c r="W131" s="272">
        <f t="shared" si="39"/>
        <v>-2.0408163265306121E-2</v>
      </c>
      <c r="X131" s="272">
        <f t="shared" si="48"/>
        <v>0.8</v>
      </c>
      <c r="Y131" s="272" t="e">
        <f t="shared" si="48"/>
        <v>#VALUE!</v>
      </c>
      <c r="Z131" s="272" t="e">
        <f t="shared" si="40"/>
        <v>#VALUE!</v>
      </c>
      <c r="AA131" s="272">
        <f t="shared" si="49"/>
        <v>0.73684210526315785</v>
      </c>
      <c r="AB131" s="272">
        <f t="shared" si="49"/>
        <v>0.21052631578947367</v>
      </c>
      <c r="AC131" s="272" t="e">
        <f t="shared" si="41"/>
        <v>#VALUE!</v>
      </c>
    </row>
    <row r="132" spans="1:29">
      <c r="A132" s="140" t="s">
        <v>184</v>
      </c>
      <c r="B132" s="105">
        <v>68000</v>
      </c>
      <c r="C132" s="9">
        <v>58000</v>
      </c>
      <c r="D132" s="9">
        <v>10000</v>
      </c>
      <c r="E132" s="13" t="s">
        <v>220</v>
      </c>
      <c r="F132" s="9">
        <v>51000</v>
      </c>
      <c r="G132" s="9">
        <v>44000</v>
      </c>
      <c r="H132" s="9">
        <v>7000</v>
      </c>
      <c r="I132" s="13" t="s">
        <v>220</v>
      </c>
      <c r="J132" s="9">
        <v>7000</v>
      </c>
      <c r="K132" s="9">
        <v>7000</v>
      </c>
      <c r="L132" s="13" t="s">
        <v>220</v>
      </c>
      <c r="M132" s="13" t="s">
        <v>220</v>
      </c>
      <c r="N132" s="9">
        <v>10000</v>
      </c>
      <c r="O132" s="9">
        <v>7000</v>
      </c>
      <c r="P132" s="9">
        <v>2000</v>
      </c>
      <c r="Q132" s="269" t="s">
        <v>220</v>
      </c>
      <c r="R132" s="272">
        <f t="shared" si="46"/>
        <v>0.8529411764705882</v>
      </c>
      <c r="S132" s="272">
        <f t="shared" si="46"/>
        <v>0.14705882352941177</v>
      </c>
      <c r="T132" s="272" t="e">
        <f t="shared" si="38"/>
        <v>#VALUE!</v>
      </c>
      <c r="U132" s="272">
        <f t="shared" si="47"/>
        <v>0.86274509803921573</v>
      </c>
      <c r="V132" s="272">
        <f t="shared" si="47"/>
        <v>0.13725490196078433</v>
      </c>
      <c r="W132" s="272" t="e">
        <f t="shared" si="39"/>
        <v>#VALUE!</v>
      </c>
      <c r="X132" s="272">
        <f t="shared" si="48"/>
        <v>1</v>
      </c>
      <c r="Y132" s="272" t="e">
        <f t="shared" si="48"/>
        <v>#VALUE!</v>
      </c>
      <c r="Z132" s="272" t="e">
        <f t="shared" si="40"/>
        <v>#VALUE!</v>
      </c>
      <c r="AA132" s="272">
        <f t="shared" si="49"/>
        <v>0.7</v>
      </c>
      <c r="AB132" s="272">
        <f t="shared" si="49"/>
        <v>0.2</v>
      </c>
      <c r="AC132" s="272" t="e">
        <f t="shared" si="41"/>
        <v>#VALUE!</v>
      </c>
    </row>
    <row r="133" spans="1:29">
      <c r="A133" s="140" t="s">
        <v>185</v>
      </c>
      <c r="B133" s="105">
        <v>59000</v>
      </c>
      <c r="C133" s="9">
        <v>46000</v>
      </c>
      <c r="D133" s="9">
        <v>11000</v>
      </c>
      <c r="E133" s="9">
        <v>2000</v>
      </c>
      <c r="F133" s="9">
        <v>47000</v>
      </c>
      <c r="G133" s="9">
        <v>37000</v>
      </c>
      <c r="H133" s="9">
        <v>8000</v>
      </c>
      <c r="I133" s="9">
        <v>1000</v>
      </c>
      <c r="J133" s="9">
        <v>3000</v>
      </c>
      <c r="K133" s="9">
        <v>2000</v>
      </c>
      <c r="L133" s="13" t="s">
        <v>191</v>
      </c>
      <c r="M133" s="13" t="s">
        <v>220</v>
      </c>
      <c r="N133" s="9">
        <v>9000</v>
      </c>
      <c r="O133" s="9">
        <v>7000</v>
      </c>
      <c r="P133" s="9">
        <v>2000</v>
      </c>
      <c r="Q133" s="269" t="s">
        <v>220</v>
      </c>
      <c r="R133" s="272">
        <f t="shared" si="46"/>
        <v>0.77966101694915257</v>
      </c>
      <c r="S133" s="272">
        <f t="shared" si="46"/>
        <v>0.1864406779661017</v>
      </c>
      <c r="T133" s="272">
        <f t="shared" ref="T133:T164" si="50">(E133/B133)*(-1)</f>
        <v>-3.3898305084745763E-2</v>
      </c>
      <c r="U133" s="272">
        <f t="shared" si="47"/>
        <v>0.78723404255319152</v>
      </c>
      <c r="V133" s="272">
        <f t="shared" si="47"/>
        <v>0.1702127659574468</v>
      </c>
      <c r="W133" s="272">
        <f t="shared" ref="W133:W164" si="51">(I133/F133)*(-1)</f>
        <v>-2.1276595744680851E-2</v>
      </c>
      <c r="X133" s="272">
        <f t="shared" si="48"/>
        <v>0.66666666666666663</v>
      </c>
      <c r="Y133" s="272" t="e">
        <f t="shared" si="48"/>
        <v>#VALUE!</v>
      </c>
      <c r="Z133" s="272" t="e">
        <f t="shared" ref="Z133:Z164" si="52">(M133/J133)*(-1)</f>
        <v>#VALUE!</v>
      </c>
      <c r="AA133" s="272">
        <f t="shared" si="49"/>
        <v>0.77777777777777779</v>
      </c>
      <c r="AB133" s="272">
        <f t="shared" si="49"/>
        <v>0.22222222222222221</v>
      </c>
      <c r="AC133" s="272" t="e">
        <f t="shared" ref="AC133:AC164" si="53">(Q133/N133)*(-1)</f>
        <v>#VALUE!</v>
      </c>
    </row>
    <row r="134" spans="1:29">
      <c r="A134" s="139" t="s">
        <v>186</v>
      </c>
      <c r="B134" s="105">
        <v>215000</v>
      </c>
      <c r="C134" s="9">
        <v>151000</v>
      </c>
      <c r="D134" s="9">
        <v>46000</v>
      </c>
      <c r="E134" s="9">
        <v>17000</v>
      </c>
      <c r="F134" s="9">
        <v>155000</v>
      </c>
      <c r="G134" s="9">
        <v>119000</v>
      </c>
      <c r="H134" s="9">
        <v>31000</v>
      </c>
      <c r="I134" s="9">
        <v>5000</v>
      </c>
      <c r="J134" s="9">
        <v>20000</v>
      </c>
      <c r="K134" s="9">
        <v>14000</v>
      </c>
      <c r="L134" s="9">
        <v>5000</v>
      </c>
      <c r="M134" s="9">
        <v>1000</v>
      </c>
      <c r="N134" s="9">
        <v>40000</v>
      </c>
      <c r="O134" s="9">
        <v>18000</v>
      </c>
      <c r="P134" s="9">
        <v>10000</v>
      </c>
      <c r="Q134" s="265">
        <v>11000</v>
      </c>
      <c r="R134" s="272">
        <f t="shared" si="46"/>
        <v>0.70232558139534884</v>
      </c>
      <c r="S134" s="272">
        <f t="shared" si="46"/>
        <v>0.21395348837209302</v>
      </c>
      <c r="T134" s="272">
        <f t="shared" si="50"/>
        <v>-7.9069767441860464E-2</v>
      </c>
      <c r="U134" s="272">
        <f t="shared" si="47"/>
        <v>0.76774193548387093</v>
      </c>
      <c r="V134" s="272">
        <f t="shared" si="47"/>
        <v>0.2</v>
      </c>
      <c r="W134" s="272">
        <f t="shared" si="51"/>
        <v>-3.2258064516129031E-2</v>
      </c>
      <c r="X134" s="272">
        <f t="shared" si="48"/>
        <v>0.7</v>
      </c>
      <c r="Y134" s="272">
        <f t="shared" si="48"/>
        <v>0.25</v>
      </c>
      <c r="Z134" s="272">
        <f t="shared" si="52"/>
        <v>-0.05</v>
      </c>
      <c r="AA134" s="272">
        <f t="shared" si="49"/>
        <v>0.45</v>
      </c>
      <c r="AB134" s="272">
        <f t="shared" si="49"/>
        <v>0.25</v>
      </c>
      <c r="AC134" s="272">
        <f t="shared" si="53"/>
        <v>-0.27500000000000002</v>
      </c>
    </row>
    <row r="135" spans="1:29">
      <c r="A135" s="140" t="s">
        <v>187</v>
      </c>
      <c r="B135" s="105">
        <v>97000</v>
      </c>
      <c r="C135" s="9">
        <v>73000</v>
      </c>
      <c r="D135" s="9">
        <v>18000</v>
      </c>
      <c r="E135" s="9">
        <v>7000</v>
      </c>
      <c r="F135" s="9">
        <v>68000</v>
      </c>
      <c r="G135" s="9">
        <v>54000</v>
      </c>
      <c r="H135" s="9">
        <v>12000</v>
      </c>
      <c r="I135" s="9">
        <v>2000</v>
      </c>
      <c r="J135" s="9">
        <v>9000</v>
      </c>
      <c r="K135" s="9">
        <v>8000</v>
      </c>
      <c r="L135" s="9">
        <v>1000</v>
      </c>
      <c r="M135" s="13" t="s">
        <v>220</v>
      </c>
      <c r="N135" s="9">
        <v>21000</v>
      </c>
      <c r="O135" s="9">
        <v>11000</v>
      </c>
      <c r="P135" s="9">
        <v>5000</v>
      </c>
      <c r="Q135" s="265">
        <v>5000</v>
      </c>
      <c r="R135" s="272">
        <f t="shared" si="46"/>
        <v>0.75257731958762886</v>
      </c>
      <c r="S135" s="272">
        <f t="shared" si="46"/>
        <v>0.18556701030927836</v>
      </c>
      <c r="T135" s="272">
        <f t="shared" si="50"/>
        <v>-7.2164948453608241E-2</v>
      </c>
      <c r="U135" s="272">
        <f t="shared" si="47"/>
        <v>0.79411764705882348</v>
      </c>
      <c r="V135" s="272">
        <f t="shared" si="47"/>
        <v>0.17647058823529413</v>
      </c>
      <c r="W135" s="272">
        <f t="shared" si="51"/>
        <v>-2.9411764705882353E-2</v>
      </c>
      <c r="X135" s="272">
        <f t="shared" si="48"/>
        <v>0.88888888888888884</v>
      </c>
      <c r="Y135" s="272">
        <f t="shared" si="48"/>
        <v>0.1111111111111111</v>
      </c>
      <c r="Z135" s="272" t="e">
        <f t="shared" si="52"/>
        <v>#VALUE!</v>
      </c>
      <c r="AA135" s="272">
        <f t="shared" si="49"/>
        <v>0.52380952380952384</v>
      </c>
      <c r="AB135" s="272">
        <f t="shared" si="49"/>
        <v>0.23809523809523808</v>
      </c>
      <c r="AC135" s="272">
        <f t="shared" si="53"/>
        <v>-0.23809523809523808</v>
      </c>
    </row>
    <row r="136" spans="1:29">
      <c r="A136" s="140" t="s">
        <v>188</v>
      </c>
      <c r="B136" s="105">
        <v>33000</v>
      </c>
      <c r="C136" s="9">
        <v>25000</v>
      </c>
      <c r="D136" s="9">
        <v>6000</v>
      </c>
      <c r="E136" s="9">
        <v>1000</v>
      </c>
      <c r="F136" s="9">
        <v>27000</v>
      </c>
      <c r="G136" s="9">
        <v>23000</v>
      </c>
      <c r="H136" s="9">
        <v>4000</v>
      </c>
      <c r="I136" s="13" t="s">
        <v>220</v>
      </c>
      <c r="J136" s="13" t="s">
        <v>191</v>
      </c>
      <c r="K136" s="13" t="s">
        <v>220</v>
      </c>
      <c r="L136" s="13" t="s">
        <v>220</v>
      </c>
      <c r="M136" s="13" t="s">
        <v>220</v>
      </c>
      <c r="N136" s="9">
        <v>4000</v>
      </c>
      <c r="O136" s="9">
        <v>2000</v>
      </c>
      <c r="P136" s="13" t="s">
        <v>191</v>
      </c>
      <c r="Q136" s="265">
        <v>1000</v>
      </c>
      <c r="R136" s="272">
        <f t="shared" si="46"/>
        <v>0.75757575757575757</v>
      </c>
      <c r="S136" s="272">
        <f t="shared" si="46"/>
        <v>0.18181818181818182</v>
      </c>
      <c r="T136" s="272">
        <f t="shared" si="50"/>
        <v>-3.0303030303030304E-2</v>
      </c>
      <c r="U136" s="272">
        <f t="shared" si="47"/>
        <v>0.85185185185185186</v>
      </c>
      <c r="V136" s="272">
        <f t="shared" si="47"/>
        <v>0.14814814814814814</v>
      </c>
      <c r="W136" s="272" t="e">
        <f t="shared" si="51"/>
        <v>#VALUE!</v>
      </c>
      <c r="X136" s="272" t="e">
        <f t="shared" si="48"/>
        <v>#VALUE!</v>
      </c>
      <c r="Y136" s="272" t="e">
        <f t="shared" si="48"/>
        <v>#VALUE!</v>
      </c>
      <c r="Z136" s="272" t="e">
        <f t="shared" si="52"/>
        <v>#VALUE!</v>
      </c>
      <c r="AA136" s="272">
        <f t="shared" si="49"/>
        <v>0.5</v>
      </c>
      <c r="AB136" s="272" t="e">
        <f t="shared" si="49"/>
        <v>#VALUE!</v>
      </c>
      <c r="AC136" s="272">
        <f t="shared" si="53"/>
        <v>-0.25</v>
      </c>
    </row>
    <row r="137" spans="1:29">
      <c r="A137" s="140" t="s">
        <v>189</v>
      </c>
      <c r="B137" s="105">
        <v>82000</v>
      </c>
      <c r="C137" s="9">
        <v>51000</v>
      </c>
      <c r="D137" s="9">
        <v>22000</v>
      </c>
      <c r="E137" s="9">
        <v>9000</v>
      </c>
      <c r="F137" s="9">
        <v>59000</v>
      </c>
      <c r="G137" s="9">
        <v>41000</v>
      </c>
      <c r="H137" s="9">
        <v>15000</v>
      </c>
      <c r="I137" s="9">
        <v>3000</v>
      </c>
      <c r="J137" s="9">
        <v>9000</v>
      </c>
      <c r="K137" s="9">
        <v>5000</v>
      </c>
      <c r="L137" s="9">
        <v>3000</v>
      </c>
      <c r="M137" s="13" t="s">
        <v>220</v>
      </c>
      <c r="N137" s="9">
        <v>15000</v>
      </c>
      <c r="O137" s="9">
        <v>5000</v>
      </c>
      <c r="P137" s="9">
        <v>4000</v>
      </c>
      <c r="Q137" s="265">
        <v>6000</v>
      </c>
      <c r="R137" s="272">
        <f t="shared" si="46"/>
        <v>0.62195121951219512</v>
      </c>
      <c r="S137" s="272">
        <f t="shared" si="46"/>
        <v>0.26829268292682928</v>
      </c>
      <c r="T137" s="272">
        <f t="shared" si="50"/>
        <v>-0.10975609756097561</v>
      </c>
      <c r="U137" s="272">
        <f t="shared" si="47"/>
        <v>0.69491525423728817</v>
      </c>
      <c r="V137" s="272">
        <f t="shared" si="47"/>
        <v>0.25423728813559321</v>
      </c>
      <c r="W137" s="272">
        <f t="shared" si="51"/>
        <v>-5.0847457627118647E-2</v>
      </c>
      <c r="X137" s="272">
        <f t="shared" si="48"/>
        <v>0.55555555555555558</v>
      </c>
      <c r="Y137" s="272">
        <f t="shared" si="48"/>
        <v>0.33333333333333331</v>
      </c>
      <c r="Z137" s="272" t="e">
        <f t="shared" si="52"/>
        <v>#VALUE!</v>
      </c>
      <c r="AA137" s="272">
        <f t="shared" si="49"/>
        <v>0.33333333333333331</v>
      </c>
      <c r="AB137" s="272">
        <f t="shared" si="49"/>
        <v>0.26666666666666666</v>
      </c>
      <c r="AC137" s="272">
        <f t="shared" si="53"/>
        <v>-0.4</v>
      </c>
    </row>
    <row r="138" spans="1:29">
      <c r="A138" s="140" t="s">
        <v>190</v>
      </c>
      <c r="B138" s="105">
        <v>2000</v>
      </c>
      <c r="C138" s="9">
        <v>2000</v>
      </c>
      <c r="D138" s="13" t="s">
        <v>220</v>
      </c>
      <c r="E138" s="13" t="s">
        <v>220</v>
      </c>
      <c r="F138" s="9">
        <v>1000</v>
      </c>
      <c r="G138" s="9">
        <v>1000</v>
      </c>
      <c r="H138" s="13" t="s">
        <v>220</v>
      </c>
      <c r="I138" s="13" t="s">
        <v>220</v>
      </c>
      <c r="J138" s="13" t="s">
        <v>220</v>
      </c>
      <c r="K138" s="13" t="s">
        <v>220</v>
      </c>
      <c r="L138" s="13" t="s">
        <v>220</v>
      </c>
      <c r="M138" s="13" t="s">
        <v>220</v>
      </c>
      <c r="N138" s="13" t="s">
        <v>220</v>
      </c>
      <c r="O138" s="13" t="s">
        <v>220</v>
      </c>
      <c r="P138" s="13" t="s">
        <v>220</v>
      </c>
      <c r="Q138" s="269" t="s">
        <v>220</v>
      </c>
      <c r="R138" s="272">
        <f t="shared" si="46"/>
        <v>1</v>
      </c>
      <c r="S138" s="272" t="e">
        <f t="shared" si="46"/>
        <v>#VALUE!</v>
      </c>
      <c r="T138" s="272" t="e">
        <f t="shared" si="50"/>
        <v>#VALUE!</v>
      </c>
      <c r="U138" s="272">
        <f t="shared" si="47"/>
        <v>1</v>
      </c>
      <c r="V138" s="272" t="e">
        <f t="shared" si="47"/>
        <v>#VALUE!</v>
      </c>
      <c r="W138" s="272" t="e">
        <f t="shared" si="51"/>
        <v>#VALUE!</v>
      </c>
      <c r="X138" s="272" t="e">
        <f t="shared" si="48"/>
        <v>#VALUE!</v>
      </c>
      <c r="Y138" s="272" t="e">
        <f t="shared" si="48"/>
        <v>#VALUE!</v>
      </c>
      <c r="Z138" s="272" t="e">
        <f t="shared" si="52"/>
        <v>#VALUE!</v>
      </c>
      <c r="AA138" s="272" t="e">
        <f t="shared" si="49"/>
        <v>#VALUE!</v>
      </c>
      <c r="AB138" s="272" t="e">
        <f t="shared" si="49"/>
        <v>#VALUE!</v>
      </c>
      <c r="AC138" s="272" t="e">
        <f t="shared" si="53"/>
        <v>#VALUE!</v>
      </c>
    </row>
    <row r="139" spans="1:29">
      <c r="A139" s="139" t="s">
        <v>192</v>
      </c>
      <c r="B139" s="105">
        <v>325000</v>
      </c>
      <c r="C139" s="9">
        <v>264000</v>
      </c>
      <c r="D139" s="9">
        <v>46000</v>
      </c>
      <c r="E139" s="9">
        <v>15000</v>
      </c>
      <c r="F139" s="9">
        <v>196000</v>
      </c>
      <c r="G139" s="9">
        <v>180000</v>
      </c>
      <c r="H139" s="9">
        <v>15000</v>
      </c>
      <c r="I139" s="13" t="s">
        <v>222</v>
      </c>
      <c r="J139" s="9">
        <v>19000</v>
      </c>
      <c r="K139" s="9">
        <v>10000</v>
      </c>
      <c r="L139" s="13" t="s">
        <v>191</v>
      </c>
      <c r="M139" s="13" t="s">
        <v>220</v>
      </c>
      <c r="N139" s="9">
        <v>110000</v>
      </c>
      <c r="O139" s="9">
        <v>73000</v>
      </c>
      <c r="P139" s="9">
        <v>24000</v>
      </c>
      <c r="Q139" s="265">
        <v>14000</v>
      </c>
      <c r="R139" s="272">
        <f t="shared" si="46"/>
        <v>0.81230769230769229</v>
      </c>
      <c r="S139" s="272">
        <f t="shared" si="46"/>
        <v>0.14153846153846153</v>
      </c>
      <c r="T139" s="272">
        <f t="shared" si="50"/>
        <v>-4.6153846153846156E-2</v>
      </c>
      <c r="U139" s="272">
        <f t="shared" si="47"/>
        <v>0.91836734693877553</v>
      </c>
      <c r="V139" s="272">
        <f t="shared" si="47"/>
        <v>7.6530612244897961E-2</v>
      </c>
      <c r="W139" s="272" t="e">
        <f t="shared" si="51"/>
        <v>#VALUE!</v>
      </c>
      <c r="X139" s="272">
        <f t="shared" si="48"/>
        <v>0.52631578947368418</v>
      </c>
      <c r="Y139" s="272" t="e">
        <f t="shared" si="48"/>
        <v>#VALUE!</v>
      </c>
      <c r="Z139" s="272" t="e">
        <f t="shared" si="52"/>
        <v>#VALUE!</v>
      </c>
      <c r="AA139" s="272">
        <f t="shared" si="49"/>
        <v>0.66363636363636369</v>
      </c>
      <c r="AB139" s="272">
        <f t="shared" si="49"/>
        <v>0.21818181818181817</v>
      </c>
      <c r="AC139" s="272">
        <f t="shared" si="53"/>
        <v>-0.12727272727272726</v>
      </c>
    </row>
    <row r="140" spans="1:29">
      <c r="A140" s="140" t="s">
        <v>193</v>
      </c>
      <c r="B140" s="105">
        <v>42000</v>
      </c>
      <c r="C140" s="9">
        <v>34000</v>
      </c>
      <c r="D140" s="9">
        <v>5000</v>
      </c>
      <c r="E140" s="13" t="s">
        <v>220</v>
      </c>
      <c r="F140" s="9">
        <v>26000</v>
      </c>
      <c r="G140" s="9">
        <v>24000</v>
      </c>
      <c r="H140" s="9">
        <v>1000</v>
      </c>
      <c r="I140" s="13" t="s">
        <v>220</v>
      </c>
      <c r="J140" s="13" t="s">
        <v>191</v>
      </c>
      <c r="K140" s="13" t="s">
        <v>220</v>
      </c>
      <c r="L140" s="13" t="s">
        <v>220</v>
      </c>
      <c r="M140" s="13" t="s">
        <v>220</v>
      </c>
      <c r="N140" s="9">
        <v>15000</v>
      </c>
      <c r="O140" s="9">
        <v>10000</v>
      </c>
      <c r="P140" s="9">
        <v>3000</v>
      </c>
      <c r="Q140" s="269" t="s">
        <v>220</v>
      </c>
      <c r="R140" s="272">
        <f t="shared" si="46"/>
        <v>0.80952380952380953</v>
      </c>
      <c r="S140" s="272">
        <f t="shared" si="46"/>
        <v>0.11904761904761904</v>
      </c>
      <c r="T140" s="272" t="e">
        <f t="shared" si="50"/>
        <v>#VALUE!</v>
      </c>
      <c r="U140" s="272">
        <f t="shared" si="47"/>
        <v>0.92307692307692313</v>
      </c>
      <c r="V140" s="272">
        <f t="shared" si="47"/>
        <v>3.8461538461538464E-2</v>
      </c>
      <c r="W140" s="272" t="e">
        <f t="shared" si="51"/>
        <v>#VALUE!</v>
      </c>
      <c r="X140" s="272" t="e">
        <f t="shared" si="48"/>
        <v>#VALUE!</v>
      </c>
      <c r="Y140" s="272" t="e">
        <f t="shared" si="48"/>
        <v>#VALUE!</v>
      </c>
      <c r="Z140" s="272" t="e">
        <f t="shared" si="52"/>
        <v>#VALUE!</v>
      </c>
      <c r="AA140" s="272">
        <f t="shared" si="49"/>
        <v>0.66666666666666663</v>
      </c>
      <c r="AB140" s="272">
        <f t="shared" si="49"/>
        <v>0.2</v>
      </c>
      <c r="AC140" s="272" t="e">
        <f t="shared" si="53"/>
        <v>#VALUE!</v>
      </c>
    </row>
    <row r="141" spans="1:29">
      <c r="A141" s="140" t="s">
        <v>194</v>
      </c>
      <c r="B141" s="105">
        <v>32000</v>
      </c>
      <c r="C141" s="9">
        <v>24000</v>
      </c>
      <c r="D141" s="9">
        <v>6000</v>
      </c>
      <c r="E141" s="13" t="s">
        <v>191</v>
      </c>
      <c r="F141" s="9">
        <v>16000</v>
      </c>
      <c r="G141" s="9">
        <v>16000</v>
      </c>
      <c r="H141" s="13" t="s">
        <v>191</v>
      </c>
      <c r="I141" s="13" t="s">
        <v>220</v>
      </c>
      <c r="J141" s="13" t="s">
        <v>191</v>
      </c>
      <c r="K141" s="13" t="s">
        <v>191</v>
      </c>
      <c r="L141" s="13" t="s">
        <v>220</v>
      </c>
      <c r="M141" s="13" t="s">
        <v>220</v>
      </c>
      <c r="N141" s="9">
        <v>14000</v>
      </c>
      <c r="O141" s="9">
        <v>8000</v>
      </c>
      <c r="P141" s="9">
        <v>5000</v>
      </c>
      <c r="Q141" s="269" t="s">
        <v>191</v>
      </c>
      <c r="R141" s="272">
        <f t="shared" si="46"/>
        <v>0.75</v>
      </c>
      <c r="S141" s="272">
        <f t="shared" si="46"/>
        <v>0.1875</v>
      </c>
      <c r="T141" s="272" t="e">
        <f t="shared" si="50"/>
        <v>#VALUE!</v>
      </c>
      <c r="U141" s="272">
        <f t="shared" si="47"/>
        <v>1</v>
      </c>
      <c r="V141" s="272" t="e">
        <f t="shared" si="47"/>
        <v>#VALUE!</v>
      </c>
      <c r="W141" s="272" t="e">
        <f t="shared" si="51"/>
        <v>#VALUE!</v>
      </c>
      <c r="X141" s="272" t="e">
        <f t="shared" si="48"/>
        <v>#VALUE!</v>
      </c>
      <c r="Y141" s="272" t="e">
        <f t="shared" si="48"/>
        <v>#VALUE!</v>
      </c>
      <c r="Z141" s="272" t="e">
        <f t="shared" si="52"/>
        <v>#VALUE!</v>
      </c>
      <c r="AA141" s="272">
        <f t="shared" si="49"/>
        <v>0.5714285714285714</v>
      </c>
      <c r="AB141" s="272">
        <f t="shared" si="49"/>
        <v>0.35714285714285715</v>
      </c>
      <c r="AC141" s="272" t="e">
        <f t="shared" si="53"/>
        <v>#VALUE!</v>
      </c>
    </row>
    <row r="142" spans="1:29">
      <c r="A142" s="140" t="s">
        <v>195</v>
      </c>
      <c r="B142" s="105">
        <v>165000</v>
      </c>
      <c r="C142" s="9">
        <v>135000</v>
      </c>
      <c r="D142" s="9">
        <v>23000</v>
      </c>
      <c r="E142" s="9">
        <v>7000</v>
      </c>
      <c r="F142" s="9">
        <v>105000</v>
      </c>
      <c r="G142" s="9">
        <v>99000</v>
      </c>
      <c r="H142" s="9">
        <v>5000</v>
      </c>
      <c r="I142" s="13" t="s">
        <v>220</v>
      </c>
      <c r="J142" s="9">
        <v>15000</v>
      </c>
      <c r="K142" s="9">
        <v>9000</v>
      </c>
      <c r="L142" s="13" t="s">
        <v>191</v>
      </c>
      <c r="M142" s="13" t="s">
        <v>220</v>
      </c>
      <c r="N142" s="9">
        <v>46000</v>
      </c>
      <c r="O142" s="9">
        <v>27000</v>
      </c>
      <c r="P142" s="9">
        <v>12000</v>
      </c>
      <c r="Q142" s="265">
        <v>7000</v>
      </c>
      <c r="R142" s="272">
        <f t="shared" si="46"/>
        <v>0.81818181818181823</v>
      </c>
      <c r="S142" s="272">
        <f t="shared" si="46"/>
        <v>0.1393939393939394</v>
      </c>
      <c r="T142" s="272">
        <f t="shared" si="50"/>
        <v>-4.2424242424242427E-2</v>
      </c>
      <c r="U142" s="272">
        <f t="shared" si="47"/>
        <v>0.94285714285714284</v>
      </c>
      <c r="V142" s="272">
        <f t="shared" si="47"/>
        <v>4.7619047619047616E-2</v>
      </c>
      <c r="W142" s="272" t="e">
        <f t="shared" si="51"/>
        <v>#VALUE!</v>
      </c>
      <c r="X142" s="272">
        <f t="shared" si="48"/>
        <v>0.6</v>
      </c>
      <c r="Y142" s="272" t="e">
        <f t="shared" si="48"/>
        <v>#VALUE!</v>
      </c>
      <c r="Z142" s="272" t="e">
        <f t="shared" si="52"/>
        <v>#VALUE!</v>
      </c>
      <c r="AA142" s="272">
        <f t="shared" si="49"/>
        <v>0.58695652173913049</v>
      </c>
      <c r="AB142" s="272">
        <f t="shared" si="49"/>
        <v>0.2608695652173913</v>
      </c>
      <c r="AC142" s="272">
        <f t="shared" si="53"/>
        <v>-0.15217391304347827</v>
      </c>
    </row>
    <row r="143" spans="1:29">
      <c r="A143" s="140" t="s">
        <v>196</v>
      </c>
      <c r="B143" s="105">
        <v>46000</v>
      </c>
      <c r="C143" s="9">
        <v>37000</v>
      </c>
      <c r="D143" s="9">
        <v>8000</v>
      </c>
      <c r="E143" s="13" t="s">
        <v>191</v>
      </c>
      <c r="F143" s="9">
        <v>36000</v>
      </c>
      <c r="G143" s="9">
        <v>29000</v>
      </c>
      <c r="H143" s="9">
        <v>6000</v>
      </c>
      <c r="I143" s="13" t="s">
        <v>220</v>
      </c>
      <c r="J143" s="13" t="s">
        <v>220</v>
      </c>
      <c r="K143" s="13" t="s">
        <v>220</v>
      </c>
      <c r="L143" s="13" t="s">
        <v>220</v>
      </c>
      <c r="M143" s="13" t="s">
        <v>220</v>
      </c>
      <c r="N143" s="9">
        <v>10000</v>
      </c>
      <c r="O143" s="9">
        <v>7000</v>
      </c>
      <c r="P143" s="9">
        <v>1000</v>
      </c>
      <c r="Q143" s="269" t="s">
        <v>220</v>
      </c>
      <c r="R143" s="272">
        <f t="shared" si="46"/>
        <v>0.80434782608695654</v>
      </c>
      <c r="S143" s="272">
        <f t="shared" si="46"/>
        <v>0.17391304347826086</v>
      </c>
      <c r="T143" s="272" t="e">
        <f t="shared" si="50"/>
        <v>#VALUE!</v>
      </c>
      <c r="U143" s="272">
        <f t="shared" si="47"/>
        <v>0.80555555555555558</v>
      </c>
      <c r="V143" s="272">
        <f t="shared" si="47"/>
        <v>0.16666666666666666</v>
      </c>
      <c r="W143" s="272" t="e">
        <f t="shared" si="51"/>
        <v>#VALUE!</v>
      </c>
      <c r="X143" s="272" t="e">
        <f t="shared" si="48"/>
        <v>#VALUE!</v>
      </c>
      <c r="Y143" s="272" t="e">
        <f t="shared" si="48"/>
        <v>#VALUE!</v>
      </c>
      <c r="Z143" s="272" t="e">
        <f t="shared" si="52"/>
        <v>#VALUE!</v>
      </c>
      <c r="AA143" s="272">
        <f t="shared" si="49"/>
        <v>0.7</v>
      </c>
      <c r="AB143" s="272">
        <f t="shared" si="49"/>
        <v>0.1</v>
      </c>
      <c r="AC143" s="272" t="e">
        <f t="shared" si="53"/>
        <v>#VALUE!</v>
      </c>
    </row>
    <row r="144" spans="1:29">
      <c r="A144" s="140" t="s">
        <v>197</v>
      </c>
      <c r="B144" s="105">
        <v>40000</v>
      </c>
      <c r="C144" s="9">
        <v>34000</v>
      </c>
      <c r="D144" s="9">
        <v>4000</v>
      </c>
      <c r="E144" s="9">
        <v>2000</v>
      </c>
      <c r="F144" s="9">
        <v>14000</v>
      </c>
      <c r="G144" s="9">
        <v>12000</v>
      </c>
      <c r="H144" s="13" t="s">
        <v>191</v>
      </c>
      <c r="I144" s="13" t="s">
        <v>220</v>
      </c>
      <c r="J144" s="13" t="s">
        <v>191</v>
      </c>
      <c r="K144" s="13" t="s">
        <v>222</v>
      </c>
      <c r="L144" s="13" t="s">
        <v>220</v>
      </c>
      <c r="M144" s="13" t="s">
        <v>220</v>
      </c>
      <c r="N144" s="9">
        <v>26000</v>
      </c>
      <c r="O144" s="9">
        <v>21000</v>
      </c>
      <c r="P144" s="13" t="s">
        <v>191</v>
      </c>
      <c r="Q144" s="269" t="s">
        <v>191</v>
      </c>
      <c r="R144" s="272">
        <f t="shared" si="46"/>
        <v>0.85</v>
      </c>
      <c r="S144" s="272">
        <f t="shared" si="46"/>
        <v>0.1</v>
      </c>
      <c r="T144" s="272">
        <f t="shared" si="50"/>
        <v>-0.05</v>
      </c>
      <c r="U144" s="272">
        <f t="shared" si="47"/>
        <v>0.8571428571428571</v>
      </c>
      <c r="V144" s="272" t="e">
        <f t="shared" si="47"/>
        <v>#VALUE!</v>
      </c>
      <c r="W144" s="272" t="e">
        <f t="shared" si="51"/>
        <v>#VALUE!</v>
      </c>
      <c r="X144" s="272" t="e">
        <f t="shared" si="48"/>
        <v>#VALUE!</v>
      </c>
      <c r="Y144" s="272" t="e">
        <f t="shared" si="48"/>
        <v>#VALUE!</v>
      </c>
      <c r="Z144" s="272" t="e">
        <f t="shared" si="52"/>
        <v>#VALUE!</v>
      </c>
      <c r="AA144" s="272">
        <f t="shared" si="49"/>
        <v>0.80769230769230771</v>
      </c>
      <c r="AB144" s="272" t="e">
        <f t="shared" si="49"/>
        <v>#VALUE!</v>
      </c>
      <c r="AC144" s="272" t="e">
        <f t="shared" si="53"/>
        <v>#VALUE!</v>
      </c>
    </row>
    <row r="145" spans="1:29">
      <c r="A145" s="139" t="s">
        <v>198</v>
      </c>
      <c r="B145" s="107">
        <v>256000</v>
      </c>
      <c r="C145" s="7">
        <v>201000</v>
      </c>
      <c r="D145" s="7">
        <v>44000</v>
      </c>
      <c r="E145" s="7">
        <v>10000</v>
      </c>
      <c r="F145" s="7">
        <v>171000</v>
      </c>
      <c r="G145" s="7">
        <v>145000</v>
      </c>
      <c r="H145" s="7">
        <v>24000</v>
      </c>
      <c r="I145" s="7">
        <v>3000</v>
      </c>
      <c r="J145" s="7">
        <v>34000</v>
      </c>
      <c r="K145" s="7">
        <v>27000</v>
      </c>
      <c r="L145" s="7">
        <v>7000</v>
      </c>
      <c r="M145" s="19" t="s">
        <v>220</v>
      </c>
      <c r="N145" s="7">
        <v>50000</v>
      </c>
      <c r="O145" s="7">
        <v>30000</v>
      </c>
      <c r="P145" s="7">
        <v>13000</v>
      </c>
      <c r="Q145" s="268">
        <v>7000</v>
      </c>
      <c r="R145" s="272">
        <f>C145/$B145</f>
        <v>0.78515625</v>
      </c>
      <c r="S145" s="272">
        <f t="shared" ref="S145:S160" si="54">D145/$B145</f>
        <v>0.171875</v>
      </c>
      <c r="T145" s="272">
        <f t="shared" si="50"/>
        <v>-3.90625E-2</v>
      </c>
      <c r="U145" s="272">
        <f>G145/$F145</f>
        <v>0.84795321637426901</v>
      </c>
      <c r="V145" s="272">
        <f t="shared" ref="V145:V160" si="55">H145/$F145</f>
        <v>0.14035087719298245</v>
      </c>
      <c r="W145" s="272">
        <f t="shared" si="51"/>
        <v>-1.7543859649122806E-2</v>
      </c>
      <c r="X145" s="272">
        <f>K145/$J145</f>
        <v>0.79411764705882348</v>
      </c>
      <c r="Y145" s="272">
        <f t="shared" ref="Y145:Y160" si="56">L145/$J145</f>
        <v>0.20588235294117646</v>
      </c>
      <c r="Z145" s="272" t="e">
        <f t="shared" si="52"/>
        <v>#VALUE!</v>
      </c>
      <c r="AA145" s="272">
        <f>O145/$N145</f>
        <v>0.6</v>
      </c>
      <c r="AB145" s="272">
        <f t="shared" ref="AB145:AB160" si="57">P145/$N145</f>
        <v>0.26</v>
      </c>
      <c r="AC145" s="272">
        <f t="shared" si="53"/>
        <v>-0.14000000000000001</v>
      </c>
    </row>
    <row r="146" spans="1:29">
      <c r="A146" s="140" t="s">
        <v>199</v>
      </c>
      <c r="B146" s="105">
        <v>11000</v>
      </c>
      <c r="C146" s="9">
        <v>10000</v>
      </c>
      <c r="D146" s="13" t="s">
        <v>191</v>
      </c>
      <c r="E146" s="13" t="s">
        <v>220</v>
      </c>
      <c r="F146" s="9">
        <v>7000</v>
      </c>
      <c r="G146" s="9">
        <v>6000</v>
      </c>
      <c r="H146" s="13" t="s">
        <v>191</v>
      </c>
      <c r="I146" s="13" t="s">
        <v>220</v>
      </c>
      <c r="J146" s="13" t="s">
        <v>191</v>
      </c>
      <c r="K146" s="13" t="s">
        <v>191</v>
      </c>
      <c r="L146" s="13" t="s">
        <v>220</v>
      </c>
      <c r="M146" s="13" t="s">
        <v>220</v>
      </c>
      <c r="N146" s="13" t="s">
        <v>191</v>
      </c>
      <c r="O146" s="13" t="s">
        <v>191</v>
      </c>
      <c r="P146" s="13" t="s">
        <v>220</v>
      </c>
      <c r="Q146" s="269" t="s">
        <v>220</v>
      </c>
      <c r="R146" s="272">
        <f t="shared" ref="R146:S164" si="58">C146/$B146</f>
        <v>0.90909090909090906</v>
      </c>
      <c r="S146" s="272" t="e">
        <f t="shared" si="54"/>
        <v>#VALUE!</v>
      </c>
      <c r="T146" s="272" t="e">
        <f t="shared" si="50"/>
        <v>#VALUE!</v>
      </c>
      <c r="U146" s="272">
        <f t="shared" ref="U146:V164" si="59">G146/$F146</f>
        <v>0.8571428571428571</v>
      </c>
      <c r="V146" s="272" t="e">
        <f t="shared" si="55"/>
        <v>#VALUE!</v>
      </c>
      <c r="W146" s="272" t="e">
        <f t="shared" si="51"/>
        <v>#VALUE!</v>
      </c>
      <c r="X146" s="272" t="e">
        <f t="shared" ref="X146:Y164" si="60">K146/$J146</f>
        <v>#VALUE!</v>
      </c>
      <c r="Y146" s="272" t="e">
        <f t="shared" si="56"/>
        <v>#VALUE!</v>
      </c>
      <c r="Z146" s="272" t="e">
        <f t="shared" si="52"/>
        <v>#VALUE!</v>
      </c>
      <c r="AA146" s="272" t="e">
        <f t="shared" ref="AA146:AB164" si="61">O146/$N146</f>
        <v>#VALUE!</v>
      </c>
      <c r="AB146" s="272" t="e">
        <f t="shared" si="57"/>
        <v>#VALUE!</v>
      </c>
      <c r="AC146" s="272" t="e">
        <f t="shared" si="53"/>
        <v>#VALUE!</v>
      </c>
    </row>
    <row r="147" spans="1:29">
      <c r="A147" s="140" t="s">
        <v>200</v>
      </c>
      <c r="B147" s="105">
        <v>30000</v>
      </c>
      <c r="C147" s="9">
        <v>22000</v>
      </c>
      <c r="D147" s="9">
        <v>5000</v>
      </c>
      <c r="E147" s="13" t="s">
        <v>191</v>
      </c>
      <c r="F147" s="9">
        <v>17000</v>
      </c>
      <c r="G147" s="9">
        <v>15000</v>
      </c>
      <c r="H147" s="9">
        <v>2000</v>
      </c>
      <c r="I147" s="13" t="s">
        <v>220</v>
      </c>
      <c r="J147" s="9">
        <v>5000</v>
      </c>
      <c r="K147" s="9">
        <v>4000</v>
      </c>
      <c r="L147" s="9">
        <v>1000</v>
      </c>
      <c r="M147" s="13" t="s">
        <v>220</v>
      </c>
      <c r="N147" s="9">
        <v>8000</v>
      </c>
      <c r="O147" s="13" t="s">
        <v>191</v>
      </c>
      <c r="P147" s="9">
        <v>2000</v>
      </c>
      <c r="Q147" s="269" t="s">
        <v>191</v>
      </c>
      <c r="R147" s="272">
        <f t="shared" si="58"/>
        <v>0.73333333333333328</v>
      </c>
      <c r="S147" s="272">
        <f t="shared" si="54"/>
        <v>0.16666666666666666</v>
      </c>
      <c r="T147" s="272" t="e">
        <f t="shared" si="50"/>
        <v>#VALUE!</v>
      </c>
      <c r="U147" s="272">
        <f t="shared" si="59"/>
        <v>0.88235294117647056</v>
      </c>
      <c r="V147" s="272">
        <f t="shared" si="55"/>
        <v>0.11764705882352941</v>
      </c>
      <c r="W147" s="272" t="e">
        <f t="shared" si="51"/>
        <v>#VALUE!</v>
      </c>
      <c r="X147" s="272">
        <f t="shared" si="60"/>
        <v>0.8</v>
      </c>
      <c r="Y147" s="272">
        <f t="shared" si="56"/>
        <v>0.2</v>
      </c>
      <c r="Z147" s="272" t="e">
        <f t="shared" si="52"/>
        <v>#VALUE!</v>
      </c>
      <c r="AA147" s="272" t="e">
        <f t="shared" si="61"/>
        <v>#VALUE!</v>
      </c>
      <c r="AB147" s="272">
        <f t="shared" si="57"/>
        <v>0.25</v>
      </c>
      <c r="AC147" s="272" t="e">
        <f t="shared" si="53"/>
        <v>#VALUE!</v>
      </c>
    </row>
    <row r="148" spans="1:29">
      <c r="A148" s="140" t="s">
        <v>201</v>
      </c>
      <c r="B148" s="105">
        <v>22000</v>
      </c>
      <c r="C148" s="9">
        <v>19000</v>
      </c>
      <c r="D148" s="9">
        <v>2000</v>
      </c>
      <c r="E148" s="13" t="s">
        <v>220</v>
      </c>
      <c r="F148" s="9">
        <v>17000</v>
      </c>
      <c r="G148" s="9">
        <v>16000</v>
      </c>
      <c r="H148" s="9">
        <v>1000</v>
      </c>
      <c r="I148" s="13" t="s">
        <v>220</v>
      </c>
      <c r="J148" s="9">
        <v>1000</v>
      </c>
      <c r="K148" s="9">
        <v>1000</v>
      </c>
      <c r="L148" s="13" t="s">
        <v>220</v>
      </c>
      <c r="M148" s="13" t="s">
        <v>220</v>
      </c>
      <c r="N148" s="9">
        <v>3000</v>
      </c>
      <c r="O148" s="9">
        <v>2000</v>
      </c>
      <c r="P148" s="9">
        <v>1000</v>
      </c>
      <c r="Q148" s="269" t="s">
        <v>220</v>
      </c>
      <c r="R148" s="272">
        <f t="shared" si="58"/>
        <v>0.86363636363636365</v>
      </c>
      <c r="S148" s="272">
        <f t="shared" si="54"/>
        <v>9.0909090909090912E-2</v>
      </c>
      <c r="T148" s="272" t="e">
        <f t="shared" si="50"/>
        <v>#VALUE!</v>
      </c>
      <c r="U148" s="272">
        <f t="shared" si="59"/>
        <v>0.94117647058823528</v>
      </c>
      <c r="V148" s="272">
        <f t="shared" si="55"/>
        <v>5.8823529411764705E-2</v>
      </c>
      <c r="W148" s="272" t="e">
        <f t="shared" si="51"/>
        <v>#VALUE!</v>
      </c>
      <c r="X148" s="272">
        <f t="shared" si="60"/>
        <v>1</v>
      </c>
      <c r="Y148" s="272" t="e">
        <f t="shared" si="56"/>
        <v>#VALUE!</v>
      </c>
      <c r="Z148" s="272" t="e">
        <f t="shared" si="52"/>
        <v>#VALUE!</v>
      </c>
      <c r="AA148" s="272">
        <f t="shared" si="61"/>
        <v>0.66666666666666663</v>
      </c>
      <c r="AB148" s="272">
        <f t="shared" si="57"/>
        <v>0.33333333333333331</v>
      </c>
      <c r="AC148" s="272" t="e">
        <f t="shared" si="53"/>
        <v>#VALUE!</v>
      </c>
    </row>
    <row r="149" spans="1:29">
      <c r="A149" s="140" t="s">
        <v>202</v>
      </c>
      <c r="B149" s="105">
        <v>79000</v>
      </c>
      <c r="C149" s="9">
        <v>64000</v>
      </c>
      <c r="D149" s="9">
        <v>14000</v>
      </c>
      <c r="E149" s="13" t="s">
        <v>222</v>
      </c>
      <c r="F149" s="9">
        <v>54000</v>
      </c>
      <c r="G149" s="9">
        <v>46000</v>
      </c>
      <c r="H149" s="9">
        <v>7000</v>
      </c>
      <c r="I149" s="13" t="s">
        <v>220</v>
      </c>
      <c r="J149" s="9">
        <v>13000</v>
      </c>
      <c r="K149" s="9">
        <v>11000</v>
      </c>
      <c r="L149" s="9">
        <v>3000</v>
      </c>
      <c r="M149" s="13" t="s">
        <v>220</v>
      </c>
      <c r="N149" s="9">
        <v>12000</v>
      </c>
      <c r="O149" s="9">
        <v>7000</v>
      </c>
      <c r="P149" s="9">
        <v>4000</v>
      </c>
      <c r="Q149" s="269" t="s">
        <v>220</v>
      </c>
      <c r="R149" s="272">
        <f t="shared" si="58"/>
        <v>0.810126582278481</v>
      </c>
      <c r="S149" s="272">
        <f t="shared" si="54"/>
        <v>0.17721518987341772</v>
      </c>
      <c r="T149" s="272" t="e">
        <f t="shared" si="50"/>
        <v>#VALUE!</v>
      </c>
      <c r="U149" s="272">
        <f t="shared" si="59"/>
        <v>0.85185185185185186</v>
      </c>
      <c r="V149" s="272">
        <f t="shared" si="55"/>
        <v>0.12962962962962962</v>
      </c>
      <c r="W149" s="272" t="e">
        <f t="shared" si="51"/>
        <v>#VALUE!</v>
      </c>
      <c r="X149" s="272">
        <f t="shared" si="60"/>
        <v>0.84615384615384615</v>
      </c>
      <c r="Y149" s="272">
        <f t="shared" si="56"/>
        <v>0.23076923076923078</v>
      </c>
      <c r="Z149" s="272" t="e">
        <f t="shared" si="52"/>
        <v>#VALUE!</v>
      </c>
      <c r="AA149" s="272">
        <f t="shared" si="61"/>
        <v>0.58333333333333337</v>
      </c>
      <c r="AB149" s="272">
        <f t="shared" si="57"/>
        <v>0.33333333333333331</v>
      </c>
      <c r="AC149" s="272" t="e">
        <f t="shared" si="53"/>
        <v>#VALUE!</v>
      </c>
    </row>
    <row r="150" spans="1:29">
      <c r="A150" s="140" t="s">
        <v>203</v>
      </c>
      <c r="B150" s="105">
        <v>11000</v>
      </c>
      <c r="C150" s="9">
        <v>8000</v>
      </c>
      <c r="D150" s="9">
        <v>2000</v>
      </c>
      <c r="E150" s="13" t="s">
        <v>220</v>
      </c>
      <c r="F150" s="9">
        <v>5000</v>
      </c>
      <c r="G150" s="9">
        <v>4000</v>
      </c>
      <c r="H150" s="9">
        <v>1000</v>
      </c>
      <c r="I150" s="13" t="s">
        <v>220</v>
      </c>
      <c r="J150" s="13" t="s">
        <v>191</v>
      </c>
      <c r="K150" s="13" t="s">
        <v>191</v>
      </c>
      <c r="L150" s="13" t="s">
        <v>220</v>
      </c>
      <c r="M150" s="13" t="s">
        <v>220</v>
      </c>
      <c r="N150" s="9">
        <v>4000</v>
      </c>
      <c r="O150" s="13" t="s">
        <v>191</v>
      </c>
      <c r="P150" s="9">
        <v>1000</v>
      </c>
      <c r="Q150" s="269" t="s">
        <v>220</v>
      </c>
      <c r="R150" s="272">
        <f t="shared" si="58"/>
        <v>0.72727272727272729</v>
      </c>
      <c r="S150" s="272">
        <f t="shared" si="54"/>
        <v>0.18181818181818182</v>
      </c>
      <c r="T150" s="272" t="e">
        <f t="shared" si="50"/>
        <v>#VALUE!</v>
      </c>
      <c r="U150" s="272">
        <f t="shared" si="59"/>
        <v>0.8</v>
      </c>
      <c r="V150" s="272">
        <f t="shared" si="55"/>
        <v>0.2</v>
      </c>
      <c r="W150" s="272" t="e">
        <f t="shared" si="51"/>
        <v>#VALUE!</v>
      </c>
      <c r="X150" s="272" t="e">
        <f t="shared" si="60"/>
        <v>#VALUE!</v>
      </c>
      <c r="Y150" s="272" t="e">
        <f t="shared" si="56"/>
        <v>#VALUE!</v>
      </c>
      <c r="Z150" s="272" t="e">
        <f t="shared" si="52"/>
        <v>#VALUE!</v>
      </c>
      <c r="AA150" s="272" t="e">
        <f t="shared" si="61"/>
        <v>#VALUE!</v>
      </c>
      <c r="AB150" s="272">
        <f t="shared" si="57"/>
        <v>0.25</v>
      </c>
      <c r="AC150" s="272" t="e">
        <f t="shared" si="53"/>
        <v>#VALUE!</v>
      </c>
    </row>
    <row r="151" spans="1:29">
      <c r="A151" s="140" t="s">
        <v>204</v>
      </c>
      <c r="B151" s="105">
        <v>29000</v>
      </c>
      <c r="C151" s="9">
        <v>22000</v>
      </c>
      <c r="D151" s="9">
        <v>5000</v>
      </c>
      <c r="E151" s="13" t="s">
        <v>191</v>
      </c>
      <c r="F151" s="9">
        <v>21000</v>
      </c>
      <c r="G151" s="9">
        <v>17000</v>
      </c>
      <c r="H151" s="9">
        <v>4000</v>
      </c>
      <c r="I151" s="13" t="s">
        <v>220</v>
      </c>
      <c r="J151" s="9">
        <v>2000</v>
      </c>
      <c r="K151" s="9">
        <v>1000</v>
      </c>
      <c r="L151" s="9">
        <v>1000</v>
      </c>
      <c r="M151" s="13" t="s">
        <v>220</v>
      </c>
      <c r="N151" s="9">
        <v>6000</v>
      </c>
      <c r="O151" s="9">
        <v>5000</v>
      </c>
      <c r="P151" s="9">
        <v>1000</v>
      </c>
      <c r="Q151" s="269" t="s">
        <v>220</v>
      </c>
      <c r="R151" s="272">
        <f t="shared" si="58"/>
        <v>0.75862068965517238</v>
      </c>
      <c r="S151" s="272">
        <f t="shared" si="54"/>
        <v>0.17241379310344829</v>
      </c>
      <c r="T151" s="272" t="e">
        <f t="shared" si="50"/>
        <v>#VALUE!</v>
      </c>
      <c r="U151" s="272">
        <f t="shared" si="59"/>
        <v>0.80952380952380953</v>
      </c>
      <c r="V151" s="272">
        <f t="shared" si="55"/>
        <v>0.19047619047619047</v>
      </c>
      <c r="W151" s="272" t="e">
        <f t="shared" si="51"/>
        <v>#VALUE!</v>
      </c>
      <c r="X151" s="272">
        <f t="shared" si="60"/>
        <v>0.5</v>
      </c>
      <c r="Y151" s="272">
        <f t="shared" si="56"/>
        <v>0.5</v>
      </c>
      <c r="Z151" s="272" t="e">
        <f t="shared" si="52"/>
        <v>#VALUE!</v>
      </c>
      <c r="AA151" s="272">
        <f t="shared" si="61"/>
        <v>0.83333333333333337</v>
      </c>
      <c r="AB151" s="272">
        <f t="shared" si="57"/>
        <v>0.16666666666666666</v>
      </c>
      <c r="AC151" s="272" t="e">
        <f t="shared" si="53"/>
        <v>#VALUE!</v>
      </c>
    </row>
    <row r="152" spans="1:29">
      <c r="A152" s="140" t="s">
        <v>205</v>
      </c>
      <c r="B152" s="105">
        <v>75000</v>
      </c>
      <c r="C152" s="9">
        <v>56000</v>
      </c>
      <c r="D152" s="9">
        <v>15000</v>
      </c>
      <c r="E152" s="9">
        <v>5000</v>
      </c>
      <c r="F152" s="9">
        <v>51000</v>
      </c>
      <c r="G152" s="9">
        <v>41000</v>
      </c>
      <c r="H152" s="9">
        <v>9000</v>
      </c>
      <c r="I152" s="13" t="s">
        <v>220</v>
      </c>
      <c r="J152" s="9">
        <v>9000</v>
      </c>
      <c r="K152" s="9">
        <v>7000</v>
      </c>
      <c r="L152" s="9">
        <v>1000</v>
      </c>
      <c r="M152" s="13" t="s">
        <v>220</v>
      </c>
      <c r="N152" s="9">
        <v>16000</v>
      </c>
      <c r="O152" s="9">
        <v>8000</v>
      </c>
      <c r="P152" s="9">
        <v>4000</v>
      </c>
      <c r="Q152" s="265">
        <v>4000</v>
      </c>
      <c r="R152" s="272">
        <f t="shared" si="58"/>
        <v>0.7466666666666667</v>
      </c>
      <c r="S152" s="272">
        <f t="shared" si="54"/>
        <v>0.2</v>
      </c>
      <c r="T152" s="272">
        <f t="shared" si="50"/>
        <v>-6.6666666666666666E-2</v>
      </c>
      <c r="U152" s="272">
        <f t="shared" si="59"/>
        <v>0.80392156862745101</v>
      </c>
      <c r="V152" s="272">
        <f t="shared" si="55"/>
        <v>0.17647058823529413</v>
      </c>
      <c r="W152" s="272" t="e">
        <f t="shared" si="51"/>
        <v>#VALUE!</v>
      </c>
      <c r="X152" s="272">
        <f t="shared" si="60"/>
        <v>0.77777777777777779</v>
      </c>
      <c r="Y152" s="272">
        <f t="shared" si="56"/>
        <v>0.1111111111111111</v>
      </c>
      <c r="Z152" s="272" t="e">
        <f t="shared" si="52"/>
        <v>#VALUE!</v>
      </c>
      <c r="AA152" s="272">
        <f t="shared" si="61"/>
        <v>0.5</v>
      </c>
      <c r="AB152" s="272">
        <f t="shared" si="57"/>
        <v>0.25</v>
      </c>
      <c r="AC152" s="272">
        <f t="shared" si="53"/>
        <v>-0.25</v>
      </c>
    </row>
    <row r="153" spans="1:29">
      <c r="A153" s="138" t="s">
        <v>206</v>
      </c>
      <c r="B153" s="105">
        <v>304000</v>
      </c>
      <c r="C153" s="9">
        <v>257000</v>
      </c>
      <c r="D153" s="9">
        <v>26000</v>
      </c>
      <c r="E153" s="9">
        <v>21000</v>
      </c>
      <c r="F153" s="9">
        <v>51000</v>
      </c>
      <c r="G153" s="9">
        <v>46000</v>
      </c>
      <c r="H153" s="9">
        <v>5000</v>
      </c>
      <c r="I153" s="13" t="s">
        <v>220</v>
      </c>
      <c r="J153" s="9">
        <v>192000</v>
      </c>
      <c r="K153" s="9">
        <v>174000</v>
      </c>
      <c r="L153" s="9">
        <v>15000</v>
      </c>
      <c r="M153" s="13" t="s">
        <v>191</v>
      </c>
      <c r="N153" s="9">
        <v>61000</v>
      </c>
      <c r="O153" s="9">
        <v>38000</v>
      </c>
      <c r="P153" s="9">
        <v>6000</v>
      </c>
      <c r="Q153" s="265">
        <v>18000</v>
      </c>
      <c r="R153" s="272">
        <f t="shared" si="58"/>
        <v>0.84539473684210531</v>
      </c>
      <c r="S153" s="272">
        <f t="shared" si="54"/>
        <v>8.5526315789473686E-2</v>
      </c>
      <c r="T153" s="272">
        <f t="shared" si="50"/>
        <v>-6.9078947368421059E-2</v>
      </c>
      <c r="U153" s="272">
        <f t="shared" si="59"/>
        <v>0.90196078431372551</v>
      </c>
      <c r="V153" s="272">
        <f t="shared" si="55"/>
        <v>9.8039215686274508E-2</v>
      </c>
      <c r="W153" s="272" t="e">
        <f t="shared" si="51"/>
        <v>#VALUE!</v>
      </c>
      <c r="X153" s="272">
        <f t="shared" si="60"/>
        <v>0.90625</v>
      </c>
      <c r="Y153" s="272">
        <f t="shared" si="56"/>
        <v>7.8125E-2</v>
      </c>
      <c r="Z153" s="272" t="e">
        <f t="shared" si="52"/>
        <v>#VALUE!</v>
      </c>
      <c r="AA153" s="272">
        <f t="shared" si="61"/>
        <v>0.62295081967213117</v>
      </c>
      <c r="AB153" s="272">
        <f t="shared" si="57"/>
        <v>9.8360655737704916E-2</v>
      </c>
      <c r="AC153" s="272">
        <f t="shared" si="53"/>
        <v>-0.29508196721311475</v>
      </c>
    </row>
    <row r="154" spans="1:29">
      <c r="A154" s="139" t="s">
        <v>207</v>
      </c>
      <c r="B154" s="105">
        <v>275000</v>
      </c>
      <c r="C154" s="9">
        <v>233000</v>
      </c>
      <c r="D154" s="9">
        <v>24000</v>
      </c>
      <c r="E154" s="9">
        <v>18000</v>
      </c>
      <c r="F154" s="9">
        <v>40000</v>
      </c>
      <c r="G154" s="9">
        <v>35000</v>
      </c>
      <c r="H154" s="9">
        <v>4000</v>
      </c>
      <c r="I154" s="13" t="s">
        <v>220</v>
      </c>
      <c r="J154" s="9">
        <v>189000</v>
      </c>
      <c r="K154" s="9">
        <v>172000</v>
      </c>
      <c r="L154" s="9">
        <v>14000</v>
      </c>
      <c r="M154" s="13" t="s">
        <v>220</v>
      </c>
      <c r="N154" s="9">
        <v>46000</v>
      </c>
      <c r="O154" s="9">
        <v>26000</v>
      </c>
      <c r="P154" s="9">
        <v>5000</v>
      </c>
      <c r="Q154" s="265">
        <v>16000</v>
      </c>
      <c r="R154" s="272">
        <f t="shared" si="58"/>
        <v>0.84727272727272729</v>
      </c>
      <c r="S154" s="272">
        <f t="shared" si="54"/>
        <v>8.727272727272728E-2</v>
      </c>
      <c r="T154" s="272">
        <f t="shared" si="50"/>
        <v>-6.545454545454546E-2</v>
      </c>
      <c r="U154" s="272">
        <f t="shared" si="59"/>
        <v>0.875</v>
      </c>
      <c r="V154" s="272">
        <f t="shared" si="55"/>
        <v>0.1</v>
      </c>
      <c r="W154" s="272" t="e">
        <f t="shared" si="51"/>
        <v>#VALUE!</v>
      </c>
      <c r="X154" s="272">
        <f t="shared" si="60"/>
        <v>0.91005291005291</v>
      </c>
      <c r="Y154" s="272">
        <f t="shared" si="56"/>
        <v>7.407407407407407E-2</v>
      </c>
      <c r="Z154" s="272" t="e">
        <f t="shared" si="52"/>
        <v>#VALUE!</v>
      </c>
      <c r="AA154" s="272">
        <f t="shared" si="61"/>
        <v>0.56521739130434778</v>
      </c>
      <c r="AB154" s="272">
        <f t="shared" si="57"/>
        <v>0.10869565217391304</v>
      </c>
      <c r="AC154" s="272">
        <f t="shared" si="53"/>
        <v>-0.34782608695652173</v>
      </c>
    </row>
    <row r="155" spans="1:29">
      <c r="A155" s="139" t="s">
        <v>208</v>
      </c>
      <c r="B155" s="105">
        <v>14000</v>
      </c>
      <c r="C155" s="9">
        <v>13000</v>
      </c>
      <c r="D155" s="13" t="s">
        <v>222</v>
      </c>
      <c r="E155" s="13" t="s">
        <v>220</v>
      </c>
      <c r="F155" s="9">
        <v>5000</v>
      </c>
      <c r="G155" s="9">
        <v>4000</v>
      </c>
      <c r="H155" s="13" t="s">
        <v>220</v>
      </c>
      <c r="I155" s="13" t="s">
        <v>220</v>
      </c>
      <c r="J155" s="9">
        <v>1000</v>
      </c>
      <c r="K155" s="9">
        <v>1000</v>
      </c>
      <c r="L155" s="13" t="s">
        <v>220</v>
      </c>
      <c r="M155" s="13" t="s">
        <v>220</v>
      </c>
      <c r="N155" s="9">
        <v>8000</v>
      </c>
      <c r="O155" s="9">
        <v>8000</v>
      </c>
      <c r="P155" s="13" t="s">
        <v>220</v>
      </c>
      <c r="Q155" s="269" t="s">
        <v>220</v>
      </c>
      <c r="R155" s="272">
        <f t="shared" si="58"/>
        <v>0.9285714285714286</v>
      </c>
      <c r="S155" s="272" t="e">
        <f t="shared" si="54"/>
        <v>#VALUE!</v>
      </c>
      <c r="T155" s="272" t="e">
        <f t="shared" si="50"/>
        <v>#VALUE!</v>
      </c>
      <c r="U155" s="272">
        <f t="shared" si="59"/>
        <v>0.8</v>
      </c>
      <c r="V155" s="272" t="e">
        <f t="shared" si="55"/>
        <v>#VALUE!</v>
      </c>
      <c r="W155" s="272" t="e">
        <f t="shared" si="51"/>
        <v>#VALUE!</v>
      </c>
      <c r="X155" s="272">
        <f t="shared" si="60"/>
        <v>1</v>
      </c>
      <c r="Y155" s="272" t="e">
        <f t="shared" si="56"/>
        <v>#VALUE!</v>
      </c>
      <c r="Z155" s="272" t="e">
        <f t="shared" si="52"/>
        <v>#VALUE!</v>
      </c>
      <c r="AA155" s="272">
        <f t="shared" si="61"/>
        <v>1</v>
      </c>
      <c r="AB155" s="272" t="e">
        <f t="shared" si="57"/>
        <v>#VALUE!</v>
      </c>
      <c r="AC155" s="272" t="e">
        <f t="shared" si="53"/>
        <v>#VALUE!</v>
      </c>
    </row>
    <row r="156" spans="1:29">
      <c r="A156" s="139" t="s">
        <v>209</v>
      </c>
      <c r="B156" s="105">
        <v>9000</v>
      </c>
      <c r="C156" s="9">
        <v>6000</v>
      </c>
      <c r="D156" s="13" t="s">
        <v>191</v>
      </c>
      <c r="E156" s="13" t="s">
        <v>191</v>
      </c>
      <c r="F156" s="9">
        <v>5000</v>
      </c>
      <c r="G156" s="9">
        <v>5000</v>
      </c>
      <c r="H156" s="13" t="s">
        <v>222</v>
      </c>
      <c r="I156" s="13" t="s">
        <v>220</v>
      </c>
      <c r="J156" s="9">
        <v>2000</v>
      </c>
      <c r="K156" s="13" t="s">
        <v>191</v>
      </c>
      <c r="L156" s="13" t="s">
        <v>220</v>
      </c>
      <c r="M156" s="13" t="s">
        <v>220</v>
      </c>
      <c r="N156" s="13" t="s">
        <v>191</v>
      </c>
      <c r="O156" s="13" t="s">
        <v>222</v>
      </c>
      <c r="P156" s="13" t="s">
        <v>220</v>
      </c>
      <c r="Q156" s="269" t="s">
        <v>220</v>
      </c>
      <c r="R156" s="272">
        <f t="shared" si="58"/>
        <v>0.66666666666666663</v>
      </c>
      <c r="S156" s="272" t="e">
        <f t="shared" si="54"/>
        <v>#VALUE!</v>
      </c>
      <c r="T156" s="272" t="e">
        <f t="shared" si="50"/>
        <v>#VALUE!</v>
      </c>
      <c r="U156" s="272">
        <f t="shared" si="59"/>
        <v>1</v>
      </c>
      <c r="V156" s="272" t="e">
        <f t="shared" si="55"/>
        <v>#VALUE!</v>
      </c>
      <c r="W156" s="272" t="e">
        <f t="shared" si="51"/>
        <v>#VALUE!</v>
      </c>
      <c r="X156" s="272" t="e">
        <f t="shared" si="60"/>
        <v>#VALUE!</v>
      </c>
      <c r="Y156" s="272" t="e">
        <f t="shared" si="56"/>
        <v>#VALUE!</v>
      </c>
      <c r="Z156" s="272" t="e">
        <f t="shared" si="52"/>
        <v>#VALUE!</v>
      </c>
      <c r="AA156" s="272" t="e">
        <f t="shared" si="61"/>
        <v>#VALUE!</v>
      </c>
      <c r="AB156" s="272" t="e">
        <f t="shared" si="57"/>
        <v>#VALUE!</v>
      </c>
      <c r="AC156" s="272" t="e">
        <f t="shared" si="53"/>
        <v>#VALUE!</v>
      </c>
    </row>
    <row r="157" spans="1:29">
      <c r="A157" s="139" t="s">
        <v>210</v>
      </c>
      <c r="B157" s="105">
        <v>7000</v>
      </c>
      <c r="C157" s="9">
        <v>5000</v>
      </c>
      <c r="D157" s="13" t="s">
        <v>220</v>
      </c>
      <c r="E157" s="13" t="s">
        <v>220</v>
      </c>
      <c r="F157" s="9">
        <v>2000</v>
      </c>
      <c r="G157" s="9">
        <v>1000</v>
      </c>
      <c r="H157" s="13" t="s">
        <v>220</v>
      </c>
      <c r="I157" s="13" t="s">
        <v>220</v>
      </c>
      <c r="J157" s="13" t="s">
        <v>220</v>
      </c>
      <c r="K157" s="13" t="s">
        <v>220</v>
      </c>
      <c r="L157" s="13" t="s">
        <v>220</v>
      </c>
      <c r="M157" s="13" t="s">
        <v>220</v>
      </c>
      <c r="N157" s="9">
        <v>4000</v>
      </c>
      <c r="O157" s="9">
        <v>4000</v>
      </c>
      <c r="P157" s="13" t="s">
        <v>220</v>
      </c>
      <c r="Q157" s="269" t="s">
        <v>220</v>
      </c>
      <c r="R157" s="272">
        <f t="shared" si="58"/>
        <v>0.7142857142857143</v>
      </c>
      <c r="S157" s="272" t="e">
        <f t="shared" si="54"/>
        <v>#VALUE!</v>
      </c>
      <c r="T157" s="272" t="e">
        <f t="shared" si="50"/>
        <v>#VALUE!</v>
      </c>
      <c r="U157" s="272">
        <f t="shared" si="59"/>
        <v>0.5</v>
      </c>
      <c r="V157" s="272" t="e">
        <f t="shared" si="55"/>
        <v>#VALUE!</v>
      </c>
      <c r="W157" s="272" t="e">
        <f t="shared" si="51"/>
        <v>#VALUE!</v>
      </c>
      <c r="X157" s="272" t="e">
        <f t="shared" si="60"/>
        <v>#VALUE!</v>
      </c>
      <c r="Y157" s="272" t="e">
        <f t="shared" si="56"/>
        <v>#VALUE!</v>
      </c>
      <c r="Z157" s="272" t="e">
        <f t="shared" si="52"/>
        <v>#VALUE!</v>
      </c>
      <c r="AA157" s="272">
        <f t="shared" si="61"/>
        <v>1</v>
      </c>
      <c r="AB157" s="272" t="e">
        <f t="shared" si="57"/>
        <v>#VALUE!</v>
      </c>
      <c r="AC157" s="272" t="e">
        <f t="shared" si="53"/>
        <v>#VALUE!</v>
      </c>
    </row>
    <row r="158" spans="1:29">
      <c r="A158" s="138" t="s">
        <v>211</v>
      </c>
      <c r="B158" s="105">
        <v>534000</v>
      </c>
      <c r="C158" s="9">
        <v>420000</v>
      </c>
      <c r="D158" s="9">
        <v>77000</v>
      </c>
      <c r="E158" s="9">
        <v>37000</v>
      </c>
      <c r="F158" s="9">
        <v>50000</v>
      </c>
      <c r="G158" s="9">
        <v>42000</v>
      </c>
      <c r="H158" s="9">
        <v>6000</v>
      </c>
      <c r="I158" s="9">
        <v>2000</v>
      </c>
      <c r="J158" s="9">
        <v>25000</v>
      </c>
      <c r="K158" s="9">
        <v>20000</v>
      </c>
      <c r="L158" s="9">
        <v>4000</v>
      </c>
      <c r="M158" s="13" t="s">
        <v>191</v>
      </c>
      <c r="N158" s="9">
        <v>459000</v>
      </c>
      <c r="O158" s="9">
        <v>358000</v>
      </c>
      <c r="P158" s="9">
        <v>67000</v>
      </c>
      <c r="Q158" s="265">
        <v>33000</v>
      </c>
      <c r="R158" s="272">
        <f t="shared" si="58"/>
        <v>0.7865168539325843</v>
      </c>
      <c r="S158" s="272">
        <f t="shared" si="54"/>
        <v>0.14419475655430711</v>
      </c>
      <c r="T158" s="272">
        <f t="shared" si="50"/>
        <v>-6.9288389513108617E-2</v>
      </c>
      <c r="U158" s="272">
        <f t="shared" si="59"/>
        <v>0.84</v>
      </c>
      <c r="V158" s="272">
        <f t="shared" si="55"/>
        <v>0.12</v>
      </c>
      <c r="W158" s="272">
        <f t="shared" si="51"/>
        <v>-0.04</v>
      </c>
      <c r="X158" s="272">
        <f t="shared" si="60"/>
        <v>0.8</v>
      </c>
      <c r="Y158" s="272">
        <f t="shared" si="56"/>
        <v>0.16</v>
      </c>
      <c r="Z158" s="272" t="e">
        <f t="shared" si="52"/>
        <v>#VALUE!</v>
      </c>
      <c r="AA158" s="272">
        <f t="shared" si="61"/>
        <v>0.77995642701525059</v>
      </c>
      <c r="AB158" s="272">
        <f t="shared" si="57"/>
        <v>0.14596949891067537</v>
      </c>
      <c r="AC158" s="272">
        <f t="shared" si="53"/>
        <v>-7.1895424836601302E-2</v>
      </c>
    </row>
    <row r="159" spans="1:29">
      <c r="A159" s="139" t="s">
        <v>212</v>
      </c>
      <c r="B159" s="105">
        <v>56000</v>
      </c>
      <c r="C159" s="9">
        <v>41000</v>
      </c>
      <c r="D159" s="9">
        <v>9000</v>
      </c>
      <c r="E159" s="9">
        <v>6000</v>
      </c>
      <c r="F159" s="9">
        <v>6000</v>
      </c>
      <c r="G159" s="9">
        <v>4000</v>
      </c>
      <c r="H159" s="13" t="s">
        <v>191</v>
      </c>
      <c r="I159" s="13" t="s">
        <v>220</v>
      </c>
      <c r="J159" s="13" t="s">
        <v>220</v>
      </c>
      <c r="K159" s="13" t="s">
        <v>220</v>
      </c>
      <c r="L159" s="13" t="s">
        <v>220</v>
      </c>
      <c r="M159" s="13" t="s">
        <v>220</v>
      </c>
      <c r="N159" s="9">
        <v>48000</v>
      </c>
      <c r="O159" s="9">
        <v>36000</v>
      </c>
      <c r="P159" s="13" t="s">
        <v>191</v>
      </c>
      <c r="Q159" s="265">
        <v>5000</v>
      </c>
      <c r="R159" s="272">
        <f t="shared" si="58"/>
        <v>0.7321428571428571</v>
      </c>
      <c r="S159" s="272">
        <f t="shared" si="54"/>
        <v>0.16071428571428573</v>
      </c>
      <c r="T159" s="272">
        <f t="shared" si="50"/>
        <v>-0.10714285714285714</v>
      </c>
      <c r="U159" s="272">
        <f t="shared" si="59"/>
        <v>0.66666666666666663</v>
      </c>
      <c r="V159" s="272" t="e">
        <f t="shared" si="55"/>
        <v>#VALUE!</v>
      </c>
      <c r="W159" s="272" t="e">
        <f t="shared" si="51"/>
        <v>#VALUE!</v>
      </c>
      <c r="X159" s="272" t="e">
        <f t="shared" si="60"/>
        <v>#VALUE!</v>
      </c>
      <c r="Y159" s="272" t="e">
        <f t="shared" si="56"/>
        <v>#VALUE!</v>
      </c>
      <c r="Z159" s="272" t="e">
        <f t="shared" si="52"/>
        <v>#VALUE!</v>
      </c>
      <c r="AA159" s="272">
        <f t="shared" si="61"/>
        <v>0.75</v>
      </c>
      <c r="AB159" s="272" t="e">
        <f t="shared" si="57"/>
        <v>#VALUE!</v>
      </c>
      <c r="AC159" s="272">
        <f t="shared" si="53"/>
        <v>-0.10416666666666667</v>
      </c>
    </row>
    <row r="160" spans="1:29">
      <c r="A160" s="139" t="s">
        <v>213</v>
      </c>
      <c r="B160" s="105">
        <v>171000</v>
      </c>
      <c r="C160" s="9">
        <v>139000</v>
      </c>
      <c r="D160" s="9">
        <v>28000</v>
      </c>
      <c r="E160" s="9">
        <v>4000</v>
      </c>
      <c r="F160" s="9">
        <v>9000</v>
      </c>
      <c r="G160" s="9">
        <v>7000</v>
      </c>
      <c r="H160" s="9">
        <v>2000</v>
      </c>
      <c r="I160" s="13" t="s">
        <v>220</v>
      </c>
      <c r="J160" s="9">
        <v>17000</v>
      </c>
      <c r="K160" s="9">
        <v>15000</v>
      </c>
      <c r="L160" s="13" t="s">
        <v>191</v>
      </c>
      <c r="M160" s="13" t="s">
        <v>222</v>
      </c>
      <c r="N160" s="9">
        <v>145000</v>
      </c>
      <c r="O160" s="9">
        <v>118000</v>
      </c>
      <c r="P160" s="9">
        <v>24000</v>
      </c>
      <c r="Q160" s="265">
        <v>4000</v>
      </c>
      <c r="R160" s="272">
        <f t="shared" si="58"/>
        <v>0.8128654970760234</v>
      </c>
      <c r="S160" s="272">
        <f t="shared" si="54"/>
        <v>0.16374269005847952</v>
      </c>
      <c r="T160" s="272">
        <f t="shared" si="50"/>
        <v>-2.3391812865497075E-2</v>
      </c>
      <c r="U160" s="272">
        <f t="shared" si="59"/>
        <v>0.77777777777777779</v>
      </c>
      <c r="V160" s="272">
        <f t="shared" si="55"/>
        <v>0.22222222222222221</v>
      </c>
      <c r="W160" s="272" t="e">
        <f t="shared" si="51"/>
        <v>#VALUE!</v>
      </c>
      <c r="X160" s="272">
        <f t="shared" si="60"/>
        <v>0.88235294117647056</v>
      </c>
      <c r="Y160" s="272" t="e">
        <f t="shared" si="56"/>
        <v>#VALUE!</v>
      </c>
      <c r="Z160" s="272" t="e">
        <f t="shared" si="52"/>
        <v>#VALUE!</v>
      </c>
      <c r="AA160" s="272">
        <f t="shared" si="61"/>
        <v>0.81379310344827582</v>
      </c>
      <c r="AB160" s="272">
        <f t="shared" si="57"/>
        <v>0.16551724137931034</v>
      </c>
      <c r="AC160" s="272">
        <f t="shared" si="53"/>
        <v>-2.7586206896551724E-2</v>
      </c>
    </row>
    <row r="161" spans="1:29">
      <c r="A161" s="139" t="s">
        <v>214</v>
      </c>
      <c r="B161" s="105">
        <v>83000</v>
      </c>
      <c r="C161" s="9">
        <v>72000</v>
      </c>
      <c r="D161" s="9">
        <v>9000</v>
      </c>
      <c r="E161" s="13" t="s">
        <v>191</v>
      </c>
      <c r="F161" s="9">
        <v>13000</v>
      </c>
      <c r="G161" s="9">
        <v>12000</v>
      </c>
      <c r="H161" s="13" t="s">
        <v>220</v>
      </c>
      <c r="I161" s="13" t="s">
        <v>220</v>
      </c>
      <c r="J161" s="13" t="s">
        <v>191</v>
      </c>
      <c r="K161" s="13" t="s">
        <v>220</v>
      </c>
      <c r="L161" s="13" t="s">
        <v>220</v>
      </c>
      <c r="M161" s="13" t="s">
        <v>220</v>
      </c>
      <c r="N161" s="9">
        <v>68000</v>
      </c>
      <c r="O161" s="9">
        <v>59000</v>
      </c>
      <c r="P161" s="9">
        <v>8000</v>
      </c>
      <c r="Q161" s="269" t="s">
        <v>220</v>
      </c>
      <c r="R161" s="272">
        <f t="shared" si="58"/>
        <v>0.86746987951807231</v>
      </c>
      <c r="S161" s="272">
        <f t="shared" si="58"/>
        <v>0.10843373493975904</v>
      </c>
      <c r="T161" s="272" t="e">
        <f t="shared" si="50"/>
        <v>#VALUE!</v>
      </c>
      <c r="U161" s="272">
        <f t="shared" si="59"/>
        <v>0.92307692307692313</v>
      </c>
      <c r="V161" s="272" t="e">
        <f t="shared" si="59"/>
        <v>#VALUE!</v>
      </c>
      <c r="W161" s="272" t="e">
        <f t="shared" si="51"/>
        <v>#VALUE!</v>
      </c>
      <c r="X161" s="272" t="e">
        <f t="shared" si="60"/>
        <v>#VALUE!</v>
      </c>
      <c r="Y161" s="272" t="e">
        <f t="shared" si="60"/>
        <v>#VALUE!</v>
      </c>
      <c r="Z161" s="272" t="e">
        <f t="shared" si="52"/>
        <v>#VALUE!</v>
      </c>
      <c r="AA161" s="272">
        <f t="shared" si="61"/>
        <v>0.86764705882352944</v>
      </c>
      <c r="AB161" s="272">
        <f t="shared" si="61"/>
        <v>0.11764705882352941</v>
      </c>
      <c r="AC161" s="272" t="e">
        <f t="shared" si="53"/>
        <v>#VALUE!</v>
      </c>
    </row>
    <row r="162" spans="1:29">
      <c r="A162" s="139" t="s">
        <v>215</v>
      </c>
      <c r="B162" s="105">
        <v>4000</v>
      </c>
      <c r="C162" s="9">
        <v>4000</v>
      </c>
      <c r="D162" s="13" t="s">
        <v>220</v>
      </c>
      <c r="E162" s="13" t="s">
        <v>220</v>
      </c>
      <c r="F162" s="13" t="s">
        <v>220</v>
      </c>
      <c r="G162" s="13" t="s">
        <v>220</v>
      </c>
      <c r="H162" s="13" t="s">
        <v>220</v>
      </c>
      <c r="I162" s="13" t="s">
        <v>220</v>
      </c>
      <c r="J162" s="13" t="s">
        <v>220</v>
      </c>
      <c r="K162" s="13" t="s">
        <v>220</v>
      </c>
      <c r="L162" s="13" t="s">
        <v>220</v>
      </c>
      <c r="M162" s="13" t="s">
        <v>220</v>
      </c>
      <c r="N162" s="9">
        <v>4000</v>
      </c>
      <c r="O162" s="9">
        <v>4000</v>
      </c>
      <c r="P162" s="13" t="s">
        <v>220</v>
      </c>
      <c r="Q162" s="269" t="s">
        <v>220</v>
      </c>
      <c r="R162" s="272">
        <f t="shared" si="58"/>
        <v>1</v>
      </c>
      <c r="S162" s="272" t="e">
        <f t="shared" si="58"/>
        <v>#VALUE!</v>
      </c>
      <c r="T162" s="272" t="e">
        <f t="shared" si="50"/>
        <v>#VALUE!</v>
      </c>
      <c r="U162" s="272" t="e">
        <f t="shared" si="59"/>
        <v>#VALUE!</v>
      </c>
      <c r="V162" s="272" t="e">
        <f t="shared" si="59"/>
        <v>#VALUE!</v>
      </c>
      <c r="W162" s="272" t="e">
        <f t="shared" si="51"/>
        <v>#VALUE!</v>
      </c>
      <c r="X162" s="272" t="e">
        <f t="shared" si="60"/>
        <v>#VALUE!</v>
      </c>
      <c r="Y162" s="272" t="e">
        <f t="shared" si="60"/>
        <v>#VALUE!</v>
      </c>
      <c r="Z162" s="272" t="e">
        <f t="shared" si="52"/>
        <v>#VALUE!</v>
      </c>
      <c r="AA162" s="272">
        <f t="shared" si="61"/>
        <v>1</v>
      </c>
      <c r="AB162" s="272" t="e">
        <f t="shared" si="61"/>
        <v>#VALUE!</v>
      </c>
      <c r="AC162" s="272" t="e">
        <f t="shared" si="53"/>
        <v>#VALUE!</v>
      </c>
    </row>
    <row r="163" spans="1:29">
      <c r="A163" s="139" t="s">
        <v>216</v>
      </c>
      <c r="B163" s="105">
        <v>160000</v>
      </c>
      <c r="C163" s="9">
        <v>116000</v>
      </c>
      <c r="D163" s="9">
        <v>25000</v>
      </c>
      <c r="E163" s="9">
        <v>20000</v>
      </c>
      <c r="F163" s="9">
        <v>5000</v>
      </c>
      <c r="G163" s="9">
        <v>3000</v>
      </c>
      <c r="H163" s="13" t="s">
        <v>220</v>
      </c>
      <c r="I163" s="13" t="s">
        <v>220</v>
      </c>
      <c r="J163" s="9">
        <v>1000</v>
      </c>
      <c r="K163" s="13" t="s">
        <v>222</v>
      </c>
      <c r="L163" s="13" t="s">
        <v>220</v>
      </c>
      <c r="M163" s="13" t="s">
        <v>220</v>
      </c>
      <c r="N163" s="9">
        <v>155000</v>
      </c>
      <c r="O163" s="9">
        <v>112000</v>
      </c>
      <c r="P163" s="9">
        <v>24000</v>
      </c>
      <c r="Q163" s="269" t="s">
        <v>191</v>
      </c>
      <c r="R163" s="272">
        <f t="shared" si="58"/>
        <v>0.72499999999999998</v>
      </c>
      <c r="S163" s="272">
        <f t="shared" si="58"/>
        <v>0.15625</v>
      </c>
      <c r="T163" s="272">
        <f t="shared" si="50"/>
        <v>-0.125</v>
      </c>
      <c r="U163" s="272">
        <f t="shared" si="59"/>
        <v>0.6</v>
      </c>
      <c r="V163" s="272" t="e">
        <f t="shared" si="59"/>
        <v>#VALUE!</v>
      </c>
      <c r="W163" s="272" t="e">
        <f t="shared" si="51"/>
        <v>#VALUE!</v>
      </c>
      <c r="X163" s="272" t="e">
        <f t="shared" si="60"/>
        <v>#VALUE!</v>
      </c>
      <c r="Y163" s="272" t="e">
        <f t="shared" si="60"/>
        <v>#VALUE!</v>
      </c>
      <c r="Z163" s="272" t="e">
        <f t="shared" si="52"/>
        <v>#VALUE!</v>
      </c>
      <c r="AA163" s="272">
        <f t="shared" si="61"/>
        <v>0.72258064516129028</v>
      </c>
      <c r="AB163" s="272">
        <f t="shared" si="61"/>
        <v>0.15483870967741936</v>
      </c>
      <c r="AC163" s="272" t="e">
        <f t="shared" si="53"/>
        <v>#VALUE!</v>
      </c>
    </row>
    <row r="164" spans="1:29">
      <c r="A164" s="139" t="s">
        <v>217</v>
      </c>
      <c r="B164" s="105">
        <v>60000</v>
      </c>
      <c r="C164" s="9">
        <v>49000</v>
      </c>
      <c r="D164" s="13" t="s">
        <v>191</v>
      </c>
      <c r="E164" s="13" t="s">
        <v>191</v>
      </c>
      <c r="F164" s="9">
        <v>18000</v>
      </c>
      <c r="G164" s="9">
        <v>16000</v>
      </c>
      <c r="H164" s="13" t="s">
        <v>191</v>
      </c>
      <c r="I164" s="13" t="s">
        <v>220</v>
      </c>
      <c r="J164" s="13" t="s">
        <v>191</v>
      </c>
      <c r="K164" s="13" t="s">
        <v>191</v>
      </c>
      <c r="L164" s="13" t="s">
        <v>220</v>
      </c>
      <c r="M164" s="13" t="s">
        <v>220</v>
      </c>
      <c r="N164" s="9">
        <v>38000</v>
      </c>
      <c r="O164" s="9">
        <v>30000</v>
      </c>
      <c r="P164" s="13" t="s">
        <v>191</v>
      </c>
      <c r="Q164" s="269" t="s">
        <v>191</v>
      </c>
      <c r="R164" s="272">
        <f t="shared" si="58"/>
        <v>0.81666666666666665</v>
      </c>
      <c r="S164" s="272" t="e">
        <f t="shared" si="58"/>
        <v>#VALUE!</v>
      </c>
      <c r="T164" s="272" t="e">
        <f t="shared" si="50"/>
        <v>#VALUE!</v>
      </c>
      <c r="U164" s="272">
        <f t="shared" si="59"/>
        <v>0.88888888888888884</v>
      </c>
      <c r="V164" s="272" t="e">
        <f t="shared" si="59"/>
        <v>#VALUE!</v>
      </c>
      <c r="W164" s="272" t="e">
        <f t="shared" si="51"/>
        <v>#VALUE!</v>
      </c>
      <c r="X164" s="272" t="e">
        <f t="shared" si="60"/>
        <v>#VALUE!</v>
      </c>
      <c r="Y164" s="272" t="e">
        <f t="shared" si="60"/>
        <v>#VALUE!</v>
      </c>
      <c r="Z164" s="272" t="e">
        <f t="shared" si="52"/>
        <v>#VALUE!</v>
      </c>
      <c r="AA164" s="272">
        <f t="shared" si="61"/>
        <v>0.78947368421052633</v>
      </c>
      <c r="AB164" s="272" t="e">
        <f t="shared" si="61"/>
        <v>#VALUE!</v>
      </c>
      <c r="AC164" s="272" t="e">
        <f t="shared" si="53"/>
        <v>#VALUE!</v>
      </c>
    </row>
    <row r="165" spans="1:29">
      <c r="A165" s="111" t="s">
        <v>223</v>
      </c>
      <c r="B165" s="109">
        <v>3246000</v>
      </c>
      <c r="C165" s="104">
        <v>2824000</v>
      </c>
      <c r="D165" s="104">
        <v>267000</v>
      </c>
      <c r="E165" s="104">
        <v>156000</v>
      </c>
      <c r="F165" s="104">
        <v>82000</v>
      </c>
      <c r="G165" s="104">
        <v>54000</v>
      </c>
      <c r="H165" s="104">
        <v>20000</v>
      </c>
      <c r="I165" s="104">
        <v>9000</v>
      </c>
      <c r="J165" s="104">
        <v>1538000</v>
      </c>
      <c r="K165" s="104">
        <v>1491000</v>
      </c>
      <c r="L165" s="104">
        <v>29000</v>
      </c>
      <c r="M165" s="104">
        <v>18000</v>
      </c>
      <c r="N165" s="104">
        <v>1626000</v>
      </c>
      <c r="O165" s="104">
        <v>1279000</v>
      </c>
      <c r="P165" s="104">
        <v>218000</v>
      </c>
      <c r="Q165" s="274">
        <v>129000</v>
      </c>
    </row>
    <row r="166" spans="1:29">
      <c r="A166" s="112" t="s">
        <v>178</v>
      </c>
      <c r="B166" s="105">
        <v>49000</v>
      </c>
      <c r="C166" s="9">
        <v>45000</v>
      </c>
      <c r="D166" s="9">
        <v>3000</v>
      </c>
      <c r="E166" s="13" t="s">
        <v>220</v>
      </c>
      <c r="F166" s="9">
        <v>28000</v>
      </c>
      <c r="G166" s="9">
        <v>27000</v>
      </c>
      <c r="H166" s="13" t="s">
        <v>220</v>
      </c>
      <c r="I166" s="13" t="s">
        <v>220</v>
      </c>
      <c r="J166" s="13" t="s">
        <v>191</v>
      </c>
      <c r="K166" s="13" t="s">
        <v>191</v>
      </c>
      <c r="L166" s="13" t="s">
        <v>220</v>
      </c>
      <c r="M166" s="13" t="s">
        <v>220</v>
      </c>
      <c r="N166" s="9">
        <v>16000</v>
      </c>
      <c r="O166" s="9">
        <v>13000</v>
      </c>
      <c r="P166" s="9">
        <v>2000</v>
      </c>
      <c r="Q166" s="269" t="s">
        <v>220</v>
      </c>
    </row>
    <row r="167" spans="1:29">
      <c r="A167" s="112" t="s">
        <v>206</v>
      </c>
      <c r="B167" s="105">
        <v>1616000</v>
      </c>
      <c r="C167" s="9">
        <v>1539000</v>
      </c>
      <c r="D167" s="9">
        <v>45000</v>
      </c>
      <c r="E167" s="9">
        <v>33000</v>
      </c>
      <c r="F167" s="9">
        <v>29000</v>
      </c>
      <c r="G167" s="9">
        <v>22000</v>
      </c>
      <c r="H167" s="9">
        <v>6000</v>
      </c>
      <c r="I167" s="13" t="s">
        <v>220</v>
      </c>
      <c r="J167" s="9">
        <v>1506000</v>
      </c>
      <c r="K167" s="9">
        <v>1476000</v>
      </c>
      <c r="L167" s="9">
        <v>23000</v>
      </c>
      <c r="M167" s="13" t="s">
        <v>191</v>
      </c>
      <c r="N167" s="9">
        <v>82000</v>
      </c>
      <c r="O167" s="9">
        <v>41000</v>
      </c>
      <c r="P167" s="9">
        <v>15000</v>
      </c>
      <c r="Q167" s="265">
        <v>26000</v>
      </c>
    </row>
    <row r="168" spans="1:29">
      <c r="A168" s="112" t="s">
        <v>211</v>
      </c>
      <c r="B168" s="110">
        <v>1582000</v>
      </c>
      <c r="C168" s="21">
        <v>1240000</v>
      </c>
      <c r="D168" s="21">
        <v>219000</v>
      </c>
      <c r="E168" s="21">
        <v>122000</v>
      </c>
      <c r="F168" s="21">
        <v>25000</v>
      </c>
      <c r="G168" s="21">
        <v>4000</v>
      </c>
      <c r="H168" s="21">
        <v>13000</v>
      </c>
      <c r="I168" s="21">
        <v>9000</v>
      </c>
      <c r="J168" s="21">
        <v>28000</v>
      </c>
      <c r="K168" s="21">
        <v>11000</v>
      </c>
      <c r="L168" s="40" t="s">
        <v>191</v>
      </c>
      <c r="M168" s="21">
        <v>11000</v>
      </c>
      <c r="N168" s="21">
        <v>1528000</v>
      </c>
      <c r="O168" s="21">
        <v>1225000</v>
      </c>
      <c r="P168" s="21">
        <v>200000</v>
      </c>
      <c r="Q168" s="275">
        <v>103000</v>
      </c>
    </row>
    <row r="169" spans="1:29" ht="13.2" customHeight="1">
      <c r="A169" s="343" t="s">
        <v>224</v>
      </c>
      <c r="B169" s="343"/>
      <c r="C169" s="343"/>
      <c r="D169" s="343"/>
      <c r="E169" s="343"/>
      <c r="F169" s="343"/>
      <c r="G169" s="343"/>
      <c r="H169" s="343"/>
      <c r="I169" s="343"/>
      <c r="J169" s="343"/>
      <c r="K169" s="343"/>
      <c r="L169" s="343"/>
      <c r="M169" s="343"/>
      <c r="N169" s="343"/>
      <c r="O169" s="343"/>
      <c r="P169" s="343"/>
      <c r="Q169" s="343"/>
      <c r="R169" s="237"/>
    </row>
    <row r="170" spans="1:29" ht="13.2" customHeight="1">
      <c r="A170" s="343"/>
      <c r="B170" s="343"/>
      <c r="C170" s="343"/>
      <c r="D170" s="343"/>
      <c r="E170" s="343"/>
      <c r="F170" s="343"/>
      <c r="G170" s="343"/>
      <c r="H170" s="343"/>
      <c r="I170" s="343"/>
      <c r="J170" s="343"/>
      <c r="K170" s="343"/>
      <c r="L170" s="343"/>
      <c r="M170" s="343"/>
      <c r="N170" s="343"/>
      <c r="O170" s="343"/>
      <c r="P170" s="343"/>
      <c r="Q170" s="343"/>
      <c r="R170" s="237"/>
    </row>
    <row r="171" spans="1:29">
      <c r="A171" s="343"/>
      <c r="B171" s="343"/>
      <c r="C171" s="343"/>
      <c r="D171" s="343"/>
      <c r="E171" s="343"/>
      <c r="F171" s="343"/>
      <c r="G171" s="343"/>
      <c r="H171" s="343"/>
      <c r="I171" s="343"/>
      <c r="J171" s="343"/>
      <c r="K171" s="343"/>
      <c r="L171" s="343"/>
      <c r="M171" s="343"/>
      <c r="N171" s="343"/>
      <c r="O171" s="343"/>
      <c r="P171" s="343"/>
      <c r="Q171" s="343"/>
      <c r="R171" s="237"/>
    </row>
    <row r="172" spans="1:29">
      <c r="A172" s="343"/>
      <c r="B172" s="343"/>
      <c r="C172" s="343"/>
      <c r="D172" s="343"/>
      <c r="E172" s="343"/>
      <c r="F172" s="343"/>
      <c r="G172" s="343"/>
      <c r="H172" s="343"/>
      <c r="I172" s="343"/>
      <c r="J172" s="343"/>
      <c r="K172" s="343"/>
      <c r="L172" s="343"/>
      <c r="M172" s="343"/>
      <c r="N172" s="343"/>
      <c r="O172" s="343"/>
      <c r="P172" s="343"/>
      <c r="Q172" s="343"/>
      <c r="R172" s="237"/>
    </row>
    <row r="173" spans="1:29">
      <c r="A173" s="237"/>
      <c r="B173" s="237"/>
      <c r="C173" s="237"/>
      <c r="D173" s="237"/>
      <c r="E173" s="237"/>
      <c r="F173" s="237"/>
      <c r="G173" s="237"/>
      <c r="H173" s="237"/>
      <c r="I173" s="237"/>
      <c r="J173" s="237"/>
      <c r="K173" s="237"/>
      <c r="L173" s="237"/>
      <c r="M173" s="237"/>
      <c r="N173" s="237"/>
      <c r="O173" s="237"/>
      <c r="P173" s="237"/>
      <c r="Q173" s="237"/>
      <c r="R173" s="237"/>
    </row>
    <row r="174" spans="1:29">
      <c r="A174" s="237"/>
      <c r="B174" s="237"/>
      <c r="C174" s="237"/>
      <c r="D174" s="237"/>
      <c r="E174" s="237"/>
      <c r="F174" s="237"/>
      <c r="G174" s="237"/>
      <c r="H174" s="237"/>
      <c r="I174" s="237"/>
      <c r="J174" s="237"/>
      <c r="K174" s="237"/>
      <c r="L174" s="237"/>
      <c r="M174" s="237"/>
      <c r="N174" s="237"/>
      <c r="O174" s="237"/>
      <c r="P174" s="237"/>
      <c r="Q174" s="237"/>
      <c r="R174" s="237"/>
    </row>
    <row r="175" spans="1:29">
      <c r="A175" s="237"/>
      <c r="B175" s="237"/>
      <c r="C175" s="237"/>
      <c r="D175" s="237"/>
      <c r="E175" s="237"/>
      <c r="F175" s="237"/>
      <c r="G175" s="237"/>
      <c r="H175" s="237"/>
      <c r="I175" s="237"/>
      <c r="J175" s="237"/>
      <c r="K175" s="237"/>
      <c r="L175" s="237"/>
      <c r="M175" s="237"/>
      <c r="N175" s="237"/>
      <c r="O175" s="237"/>
      <c r="P175" s="237"/>
      <c r="Q175" s="237"/>
      <c r="R175" s="237"/>
    </row>
    <row r="176" spans="1:29">
      <c r="A176" s="237"/>
      <c r="B176" s="237"/>
      <c r="C176" s="237"/>
      <c r="D176" s="237"/>
      <c r="E176" s="237"/>
      <c r="F176" s="237"/>
      <c r="G176" s="237"/>
      <c r="H176" s="237"/>
      <c r="I176" s="237"/>
      <c r="J176" s="237"/>
      <c r="K176" s="237"/>
      <c r="L176" s="237"/>
      <c r="M176" s="237"/>
      <c r="N176" s="237"/>
      <c r="O176" s="237"/>
      <c r="P176" s="237"/>
      <c r="Q176" s="237"/>
      <c r="R176" s="237"/>
    </row>
  </sheetData>
  <mergeCells count="19">
    <mergeCell ref="A169:Q172"/>
    <mergeCell ref="A1:R1"/>
    <mergeCell ref="A3:A4"/>
    <mergeCell ref="B3:E3"/>
    <mergeCell ref="F3:I3"/>
    <mergeCell ref="J3:M3"/>
    <mergeCell ref="N3:Q3"/>
    <mergeCell ref="R3:R4"/>
    <mergeCell ref="S3:S4"/>
    <mergeCell ref="T3:T4"/>
    <mergeCell ref="U3:U4"/>
    <mergeCell ref="V3:V4"/>
    <mergeCell ref="W3:W4"/>
    <mergeCell ref="AC3:AC4"/>
    <mergeCell ref="X3:X4"/>
    <mergeCell ref="Y3:Y4"/>
    <mergeCell ref="Z3:Z4"/>
    <mergeCell ref="AA3:AA4"/>
    <mergeCell ref="AB3:AB4"/>
  </mergeCells>
  <conditionalFormatting sqref="R5:R164">
    <cfRule type="colorScale" priority="8">
      <colorScale>
        <cfvo type="min"/>
        <cfvo type="percentile" val="50"/>
        <cfvo type="max"/>
        <color rgb="FFF8696B"/>
        <color rgb="FFFFEB84"/>
        <color rgb="FF63BE7B"/>
      </colorScale>
    </cfRule>
  </conditionalFormatting>
  <conditionalFormatting sqref="T5:T164">
    <cfRule type="colorScale" priority="7">
      <colorScale>
        <cfvo type="min"/>
        <cfvo type="percentile" val="50"/>
        <cfvo type="max"/>
        <color rgb="FFF8696B"/>
        <color rgb="FFFFEB84"/>
        <color rgb="FF63BE7B"/>
      </colorScale>
    </cfRule>
  </conditionalFormatting>
  <conditionalFormatting sqref="U5:U164">
    <cfRule type="colorScale" priority="6">
      <colorScale>
        <cfvo type="min"/>
        <cfvo type="percentile" val="50"/>
        <cfvo type="max"/>
        <color rgb="FFF8696B"/>
        <color rgb="FFFFEB84"/>
        <color rgb="FF63BE7B"/>
      </colorScale>
    </cfRule>
  </conditionalFormatting>
  <conditionalFormatting sqref="W5:W164">
    <cfRule type="colorScale" priority="5">
      <colorScale>
        <cfvo type="min"/>
        <cfvo type="percentile" val="50"/>
        <cfvo type="max"/>
        <color rgb="FFF8696B"/>
        <color rgb="FFFFEB84"/>
        <color rgb="FF63BE7B"/>
      </colorScale>
    </cfRule>
  </conditionalFormatting>
  <conditionalFormatting sqref="X5:X164">
    <cfRule type="colorScale" priority="4">
      <colorScale>
        <cfvo type="min"/>
        <cfvo type="percentile" val="50"/>
        <cfvo type="max"/>
        <color rgb="FFF8696B"/>
        <color rgb="FFFFEB84"/>
        <color rgb="FF63BE7B"/>
      </colorScale>
    </cfRule>
  </conditionalFormatting>
  <conditionalFormatting sqref="Z5:Z164">
    <cfRule type="colorScale" priority="3">
      <colorScale>
        <cfvo type="min"/>
        <cfvo type="percentile" val="50"/>
        <cfvo type="max"/>
        <color rgb="FFF8696B"/>
        <color rgb="FFFFEB84"/>
        <color rgb="FF63BE7B"/>
      </colorScale>
    </cfRule>
  </conditionalFormatting>
  <conditionalFormatting sqref="AA5:AA164">
    <cfRule type="colorScale" priority="2">
      <colorScale>
        <cfvo type="min"/>
        <cfvo type="percentile" val="50"/>
        <cfvo type="max"/>
        <color rgb="FFF8696B"/>
        <color rgb="FFFFEB84"/>
        <color rgb="FF63BE7B"/>
      </colorScale>
    </cfRule>
  </conditionalFormatting>
  <conditionalFormatting sqref="AC5:AC16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50"/>
  <sheetViews>
    <sheetView topLeftCell="A16"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 min="30" max="31" width="20.6640625" customWidth="1"/>
  </cols>
  <sheetData>
    <row r="1" spans="1:31" ht="39" customHeight="1">
      <c r="A1" s="321" t="s">
        <v>234</v>
      </c>
      <c r="B1" s="321"/>
      <c r="C1" s="321"/>
      <c r="D1" s="321"/>
      <c r="E1" s="321"/>
      <c r="F1" s="321"/>
      <c r="G1" s="321"/>
      <c r="H1" s="321"/>
      <c r="I1" s="321"/>
      <c r="J1" s="321"/>
      <c r="K1" s="321"/>
      <c r="L1" s="321"/>
      <c r="M1" s="321"/>
      <c r="N1" s="321"/>
      <c r="O1" s="321"/>
      <c r="P1" s="321"/>
      <c r="Q1" s="321"/>
      <c r="R1" s="321"/>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2" t="s">
        <v>236</v>
      </c>
      <c r="S3" s="342" t="s">
        <v>237</v>
      </c>
      <c r="T3" s="342" t="s">
        <v>238</v>
      </c>
      <c r="U3" s="342" t="s">
        <v>239</v>
      </c>
      <c r="V3" s="342" t="s">
        <v>240</v>
      </c>
      <c r="W3" s="342" t="s">
        <v>241</v>
      </c>
      <c r="X3" s="342" t="s">
        <v>242</v>
      </c>
      <c r="Y3" s="342" t="s">
        <v>243</v>
      </c>
      <c r="Z3" s="342" t="s">
        <v>244</v>
      </c>
      <c r="AA3" s="342" t="s">
        <v>245</v>
      </c>
      <c r="AB3" s="342" t="s">
        <v>246</v>
      </c>
      <c r="AC3" s="342"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30" t="s">
        <v>213</v>
      </c>
      <c r="B5" s="107">
        <v>5019000</v>
      </c>
      <c r="C5" s="7">
        <v>3536000</v>
      </c>
      <c r="D5" s="7">
        <v>715000</v>
      </c>
      <c r="E5" s="7">
        <v>769000</v>
      </c>
      <c r="F5" s="7">
        <v>94000</v>
      </c>
      <c r="G5" s="7">
        <v>55000</v>
      </c>
      <c r="H5" s="7">
        <v>20000</v>
      </c>
      <c r="I5" s="7">
        <v>19000</v>
      </c>
      <c r="J5" s="7">
        <v>441000</v>
      </c>
      <c r="K5" s="7">
        <v>315000</v>
      </c>
      <c r="L5" s="7">
        <v>75000</v>
      </c>
      <c r="M5" s="7">
        <v>52000</v>
      </c>
      <c r="N5" s="7">
        <v>4484000</v>
      </c>
      <c r="O5" s="7">
        <v>3167000</v>
      </c>
      <c r="P5" s="7">
        <v>620000</v>
      </c>
      <c r="Q5" s="7">
        <v>698000</v>
      </c>
      <c r="R5" s="204">
        <f>C5/B5</f>
        <v>0.70452281330942423</v>
      </c>
      <c r="S5" s="204">
        <f>D5/B5</f>
        <v>0.14245865710300856</v>
      </c>
      <c r="T5" s="204">
        <f>E5/B5</f>
        <v>0.15321777246463439</v>
      </c>
      <c r="U5" s="204">
        <f>G5/F5</f>
        <v>0.58510638297872342</v>
      </c>
      <c r="V5" s="204">
        <f>I5/G5</f>
        <v>0.34545454545454546</v>
      </c>
      <c r="W5" s="204">
        <f>I5/F5</f>
        <v>0.20212765957446807</v>
      </c>
      <c r="X5" s="204">
        <f>K5/J5</f>
        <v>0.7142857142857143</v>
      </c>
      <c r="Y5" s="204">
        <f>L5/J5</f>
        <v>0.17006802721088435</v>
      </c>
      <c r="Z5" s="204">
        <f>M5/J5</f>
        <v>0.11791383219954649</v>
      </c>
      <c r="AA5" s="204">
        <f>O5/N5</f>
        <v>0.70628902765388046</v>
      </c>
      <c r="AB5" s="204">
        <f>P5/N5</f>
        <v>0.13826940231935772</v>
      </c>
      <c r="AC5" s="204">
        <f>Q5/O5</f>
        <v>0.22039785285759395</v>
      </c>
    </row>
    <row r="6" spans="1:31" ht="12.45" customHeight="1">
      <c r="A6" s="130" t="s">
        <v>214</v>
      </c>
      <c r="B6" s="105">
        <v>1466000</v>
      </c>
      <c r="C6" s="9">
        <v>903000</v>
      </c>
      <c r="D6" s="9">
        <v>232000</v>
      </c>
      <c r="E6" s="9">
        <v>331000</v>
      </c>
      <c r="F6" s="9">
        <v>77000</v>
      </c>
      <c r="G6" s="9">
        <v>34000</v>
      </c>
      <c r="H6" s="9">
        <v>7000</v>
      </c>
      <c r="I6" s="9">
        <v>36000</v>
      </c>
      <c r="J6" s="9">
        <v>65000</v>
      </c>
      <c r="K6" s="9">
        <v>25000</v>
      </c>
      <c r="L6" s="9">
        <v>17000</v>
      </c>
      <c r="M6" s="9">
        <v>23000</v>
      </c>
      <c r="N6" s="9">
        <v>1324000</v>
      </c>
      <c r="O6" s="9">
        <v>845000</v>
      </c>
      <c r="P6" s="9">
        <v>208000</v>
      </c>
      <c r="Q6" s="9">
        <v>272000</v>
      </c>
      <c r="R6" s="204">
        <f t="shared" ref="R6:R39" si="0">C6/B6</f>
        <v>0.6159618008185539</v>
      </c>
      <c r="S6" s="204">
        <f t="shared" ref="S6:S39" si="1">D6/B6</f>
        <v>0.15825375170532061</v>
      </c>
      <c r="T6" s="204">
        <f t="shared" ref="T6:T39" si="2">E6/B6</f>
        <v>0.2257844474761255</v>
      </c>
      <c r="U6" s="204">
        <f t="shared" ref="U6:U39" si="3">G6/F6</f>
        <v>0.44155844155844154</v>
      </c>
      <c r="V6" s="204">
        <f t="shared" ref="V6:V39" si="4">I6/G6</f>
        <v>1.0588235294117647</v>
      </c>
      <c r="W6" s="204">
        <f t="shared" ref="W6:W39" si="5">I6/F6</f>
        <v>0.46753246753246752</v>
      </c>
      <c r="X6" s="204">
        <f t="shared" ref="X6:X39" si="6">K6/J6</f>
        <v>0.38461538461538464</v>
      </c>
      <c r="Y6" s="204">
        <f t="shared" ref="Y6:Y39" si="7">L6/J6</f>
        <v>0.26153846153846155</v>
      </c>
      <c r="Z6" s="204">
        <f t="shared" ref="Z6:Z39" si="8">M6/J6</f>
        <v>0.35384615384615387</v>
      </c>
      <c r="AA6" s="204">
        <f t="shared" ref="AA6:AA39" si="9">O6/N6</f>
        <v>0.63821752265861031</v>
      </c>
      <c r="AB6" s="204">
        <f t="shared" ref="AB6:AB39" si="10">P6/N6</f>
        <v>0.15709969788519637</v>
      </c>
      <c r="AC6" s="204">
        <f t="shared" ref="AC6:AC39" si="11">Q6/O6</f>
        <v>0.32189349112426036</v>
      </c>
    </row>
    <row r="7" spans="1:31" ht="12.45" customHeight="1">
      <c r="A7" s="130" t="s">
        <v>215</v>
      </c>
      <c r="B7" s="105">
        <v>1293000</v>
      </c>
      <c r="C7" s="9">
        <v>449000</v>
      </c>
      <c r="D7" s="9">
        <v>598000</v>
      </c>
      <c r="E7" s="9">
        <v>246000</v>
      </c>
      <c r="F7" s="9">
        <v>61000</v>
      </c>
      <c r="G7" s="9">
        <v>17000</v>
      </c>
      <c r="H7" s="9">
        <v>30000</v>
      </c>
      <c r="I7" s="9">
        <v>14000</v>
      </c>
      <c r="J7" s="9">
        <v>62000</v>
      </c>
      <c r="K7" s="9">
        <v>7000</v>
      </c>
      <c r="L7" s="13" t="s">
        <v>191</v>
      </c>
      <c r="M7" s="9">
        <v>44000</v>
      </c>
      <c r="N7" s="9">
        <v>1169000</v>
      </c>
      <c r="O7" s="9">
        <v>425000</v>
      </c>
      <c r="P7" s="9">
        <v>557000</v>
      </c>
      <c r="Q7" s="9">
        <v>187000</v>
      </c>
      <c r="R7" s="204">
        <f t="shared" si="0"/>
        <v>0.34725444702242847</v>
      </c>
      <c r="S7" s="204">
        <f t="shared" si="1"/>
        <v>0.46249033255993816</v>
      </c>
      <c r="T7" s="204">
        <f t="shared" si="2"/>
        <v>0.1902552204176334</v>
      </c>
      <c r="U7" s="204">
        <f t="shared" si="3"/>
        <v>0.27868852459016391</v>
      </c>
      <c r="V7" s="204">
        <f t="shared" si="4"/>
        <v>0.82352941176470584</v>
      </c>
      <c r="W7" s="204">
        <f t="shared" si="5"/>
        <v>0.22950819672131148</v>
      </c>
      <c r="X7" s="204">
        <f t="shared" si="6"/>
        <v>0.11290322580645161</v>
      </c>
      <c r="Y7" s="204" t="e">
        <f t="shared" si="7"/>
        <v>#VALUE!</v>
      </c>
      <c r="Z7" s="204">
        <f t="shared" si="8"/>
        <v>0.70967741935483875</v>
      </c>
      <c r="AA7" s="204">
        <f t="shared" si="9"/>
        <v>0.36355859709153121</v>
      </c>
      <c r="AB7" s="204">
        <f t="shared" si="10"/>
        <v>0.47647562018819506</v>
      </c>
      <c r="AC7" s="204">
        <f t="shared" si="11"/>
        <v>0.44</v>
      </c>
    </row>
    <row r="8" spans="1:31" ht="12.45" customHeight="1">
      <c r="A8" s="130" t="s">
        <v>216</v>
      </c>
      <c r="B8" s="105">
        <v>4526000</v>
      </c>
      <c r="C8" s="9">
        <v>1559000</v>
      </c>
      <c r="D8" s="9">
        <v>1182000</v>
      </c>
      <c r="E8" s="9">
        <v>1785000</v>
      </c>
      <c r="F8" s="9">
        <v>273000</v>
      </c>
      <c r="G8" s="9">
        <v>58000</v>
      </c>
      <c r="H8" s="9">
        <v>68000</v>
      </c>
      <c r="I8" s="9">
        <v>147000</v>
      </c>
      <c r="J8" s="9">
        <v>299000</v>
      </c>
      <c r="K8" s="9">
        <v>123000</v>
      </c>
      <c r="L8" s="9">
        <v>44000</v>
      </c>
      <c r="M8" s="9">
        <v>132000</v>
      </c>
      <c r="N8" s="9">
        <v>3954000</v>
      </c>
      <c r="O8" s="9">
        <v>1378000</v>
      </c>
      <c r="P8" s="9">
        <v>1070000</v>
      </c>
      <c r="Q8" s="9">
        <v>1506000</v>
      </c>
      <c r="R8" s="204">
        <f t="shared" si="0"/>
        <v>0.34445426425099424</v>
      </c>
      <c r="S8" s="204">
        <f t="shared" si="1"/>
        <v>0.26115775519222273</v>
      </c>
      <c r="T8" s="204">
        <f t="shared" si="2"/>
        <v>0.39438798055678304</v>
      </c>
      <c r="U8" s="204">
        <f t="shared" si="3"/>
        <v>0.21245421245421245</v>
      </c>
      <c r="V8" s="204">
        <f t="shared" si="4"/>
        <v>2.5344827586206895</v>
      </c>
      <c r="W8" s="204">
        <f t="shared" si="5"/>
        <v>0.53846153846153844</v>
      </c>
      <c r="X8" s="204">
        <f t="shared" si="6"/>
        <v>0.41137123745819398</v>
      </c>
      <c r="Y8" s="204">
        <f t="shared" si="7"/>
        <v>0.14715719063545152</v>
      </c>
      <c r="Z8" s="204">
        <f t="shared" si="8"/>
        <v>0.4414715719063545</v>
      </c>
      <c r="AA8" s="204">
        <f t="shared" si="9"/>
        <v>0.34850784016186143</v>
      </c>
      <c r="AB8" s="204">
        <f t="shared" si="10"/>
        <v>0.27061203844208398</v>
      </c>
      <c r="AC8" s="204">
        <f t="shared" si="11"/>
        <v>1.0928882438316401</v>
      </c>
    </row>
    <row r="9" spans="1:31" ht="12.45" customHeight="1">
      <c r="A9" s="130" t="s">
        <v>217</v>
      </c>
      <c r="B9" s="105">
        <v>5752000</v>
      </c>
      <c r="C9" s="9">
        <v>3020000</v>
      </c>
      <c r="D9" s="9">
        <v>1553000</v>
      </c>
      <c r="E9" s="9">
        <v>1179000</v>
      </c>
      <c r="F9" s="9">
        <v>244000</v>
      </c>
      <c r="G9" s="9">
        <v>110000</v>
      </c>
      <c r="H9" s="9">
        <v>66000</v>
      </c>
      <c r="I9" s="9">
        <v>67000</v>
      </c>
      <c r="J9" s="9">
        <v>203000</v>
      </c>
      <c r="K9" s="9">
        <v>76000</v>
      </c>
      <c r="L9" s="9">
        <v>66000</v>
      </c>
      <c r="M9" s="9">
        <v>61000</v>
      </c>
      <c r="N9" s="9">
        <v>5305000</v>
      </c>
      <c r="O9" s="9">
        <v>2834000</v>
      </c>
      <c r="P9" s="9">
        <v>1421000</v>
      </c>
      <c r="Q9" s="9">
        <v>1051000</v>
      </c>
      <c r="R9" s="204">
        <f t="shared" si="0"/>
        <v>0.52503477051460357</v>
      </c>
      <c r="S9" s="204">
        <f t="shared" si="1"/>
        <v>0.26999304589707929</v>
      </c>
      <c r="T9" s="204">
        <f t="shared" si="2"/>
        <v>0.20497218358831712</v>
      </c>
      <c r="U9" s="204">
        <f t="shared" si="3"/>
        <v>0.45081967213114754</v>
      </c>
      <c r="V9" s="204">
        <f t="shared" si="4"/>
        <v>0.60909090909090913</v>
      </c>
      <c r="W9" s="204">
        <f t="shared" si="5"/>
        <v>0.27459016393442626</v>
      </c>
      <c r="X9" s="204">
        <f t="shared" si="6"/>
        <v>0.37438423645320196</v>
      </c>
      <c r="Y9" s="204">
        <f t="shared" si="7"/>
        <v>0.3251231527093596</v>
      </c>
      <c r="Z9" s="204">
        <f t="shared" si="8"/>
        <v>0.30049261083743845</v>
      </c>
      <c r="AA9" s="204">
        <f t="shared" si="9"/>
        <v>0.53421300659754944</v>
      </c>
      <c r="AB9" s="204">
        <f t="shared" si="10"/>
        <v>0.26786050895381713</v>
      </c>
      <c r="AC9" s="204">
        <f t="shared" si="11"/>
        <v>0.37085391672547635</v>
      </c>
    </row>
    <row r="10" spans="1:31" ht="12.45" customHeight="1">
      <c r="A10" s="125" t="s">
        <v>218</v>
      </c>
      <c r="B10" s="124">
        <v>31688000</v>
      </c>
      <c r="C10" s="119">
        <v>13835000</v>
      </c>
      <c r="D10" s="119">
        <v>9599000</v>
      </c>
      <c r="E10" s="119">
        <v>8254000</v>
      </c>
      <c r="F10" s="119">
        <v>4438000</v>
      </c>
      <c r="G10" s="119">
        <v>2602000</v>
      </c>
      <c r="H10" s="119">
        <v>1236000</v>
      </c>
      <c r="I10" s="119">
        <v>600000</v>
      </c>
      <c r="J10" s="119">
        <v>5031000</v>
      </c>
      <c r="K10" s="119">
        <v>3381000</v>
      </c>
      <c r="L10" s="119">
        <v>987000</v>
      </c>
      <c r="M10" s="119">
        <v>663000</v>
      </c>
      <c r="N10" s="119">
        <v>22219000</v>
      </c>
      <c r="O10" s="119">
        <v>7852000</v>
      </c>
      <c r="P10" s="119">
        <v>7376000</v>
      </c>
      <c r="Q10" s="119">
        <v>6991000</v>
      </c>
      <c r="R10" s="204">
        <f t="shared" si="0"/>
        <v>0.43660060590759908</v>
      </c>
      <c r="S10" s="204">
        <f t="shared" si="1"/>
        <v>0.30292224185811661</v>
      </c>
      <c r="T10" s="204">
        <f t="shared" si="2"/>
        <v>0.26047715223428425</v>
      </c>
      <c r="U10" s="204">
        <f t="shared" si="3"/>
        <v>0.5863001351960343</v>
      </c>
      <c r="V10" s="204">
        <f t="shared" si="4"/>
        <v>0.23059185242121444</v>
      </c>
      <c r="W10" s="204">
        <f t="shared" si="5"/>
        <v>0.13519603424966201</v>
      </c>
      <c r="X10" s="204">
        <f t="shared" si="6"/>
        <v>0.67203339296362552</v>
      </c>
      <c r="Y10" s="204">
        <f t="shared" si="7"/>
        <v>0.19618366129994036</v>
      </c>
      <c r="Z10" s="204">
        <f t="shared" si="8"/>
        <v>0.13178294573643412</v>
      </c>
      <c r="AA10" s="204">
        <f t="shared" si="9"/>
        <v>0.35339124173005088</v>
      </c>
      <c r="AB10" s="204">
        <f t="shared" si="10"/>
        <v>0.33196813537963005</v>
      </c>
      <c r="AC10" s="204">
        <f t="shared" si="11"/>
        <v>0.89034640855832914</v>
      </c>
    </row>
    <row r="11" spans="1:31" ht="12.45" customHeight="1">
      <c r="A11" s="120" t="s">
        <v>178</v>
      </c>
      <c r="B11" s="105">
        <v>11377000</v>
      </c>
      <c r="C11" s="9">
        <v>4641000</v>
      </c>
      <c r="D11" s="9">
        <v>3586000</v>
      </c>
      <c r="E11" s="9">
        <v>3150000</v>
      </c>
      <c r="F11" s="9">
        <v>3499000</v>
      </c>
      <c r="G11" s="9">
        <v>2266000</v>
      </c>
      <c r="H11" s="9">
        <v>927000</v>
      </c>
      <c r="I11" s="9">
        <v>305000</v>
      </c>
      <c r="J11" s="9">
        <v>1692000</v>
      </c>
      <c r="K11" s="9">
        <v>902000</v>
      </c>
      <c r="L11" s="9">
        <v>521000</v>
      </c>
      <c r="M11" s="9">
        <v>269000</v>
      </c>
      <c r="N11" s="9">
        <v>6187000</v>
      </c>
      <c r="O11" s="9">
        <v>1473000</v>
      </c>
      <c r="P11" s="9">
        <v>2137000</v>
      </c>
      <c r="Q11" s="9">
        <v>2576000</v>
      </c>
      <c r="R11" s="204">
        <f t="shared" si="0"/>
        <v>0.40792827634701589</v>
      </c>
      <c r="S11" s="204">
        <f t="shared" si="1"/>
        <v>0.31519732794233979</v>
      </c>
      <c r="T11" s="204">
        <f t="shared" si="2"/>
        <v>0.27687439571064426</v>
      </c>
      <c r="U11" s="204">
        <f t="shared" si="3"/>
        <v>0.64761360388682476</v>
      </c>
      <c r="V11" s="204">
        <f t="shared" si="4"/>
        <v>0.13459841129744043</v>
      </c>
      <c r="W11" s="204">
        <f t="shared" si="5"/>
        <v>8.7167762217776501E-2</v>
      </c>
      <c r="X11" s="204">
        <f t="shared" si="6"/>
        <v>0.53309692671394804</v>
      </c>
      <c r="Y11" s="204">
        <f t="shared" si="7"/>
        <v>0.30791962174940896</v>
      </c>
      <c r="Z11" s="204">
        <f t="shared" si="8"/>
        <v>0.15898345153664303</v>
      </c>
      <c r="AA11" s="204">
        <f t="shared" si="9"/>
        <v>0.23807984483594635</v>
      </c>
      <c r="AB11" s="204">
        <f t="shared" si="10"/>
        <v>0.34540164861807016</v>
      </c>
      <c r="AC11" s="204">
        <f t="shared" si="11"/>
        <v>1.7488119484046165</v>
      </c>
    </row>
    <row r="12" spans="1:31" ht="12.45" customHeight="1">
      <c r="A12" s="121" t="s">
        <v>179</v>
      </c>
      <c r="B12" s="105">
        <v>1773000</v>
      </c>
      <c r="C12" s="9">
        <v>635000</v>
      </c>
      <c r="D12" s="9">
        <v>542000</v>
      </c>
      <c r="E12" s="9">
        <v>595000</v>
      </c>
      <c r="F12" s="9">
        <v>371000</v>
      </c>
      <c r="G12" s="9">
        <v>203000</v>
      </c>
      <c r="H12" s="9">
        <v>112000</v>
      </c>
      <c r="I12" s="9">
        <v>56000</v>
      </c>
      <c r="J12" s="9">
        <v>489000</v>
      </c>
      <c r="K12" s="9">
        <v>251000</v>
      </c>
      <c r="L12" s="9">
        <v>165000</v>
      </c>
      <c r="M12" s="9">
        <v>73000</v>
      </c>
      <c r="N12" s="9">
        <v>913000</v>
      </c>
      <c r="O12" s="9">
        <v>181000</v>
      </c>
      <c r="P12" s="9">
        <v>265000</v>
      </c>
      <c r="Q12" s="9">
        <v>466000</v>
      </c>
      <c r="R12" s="204">
        <f t="shared" si="0"/>
        <v>0.35815002820078962</v>
      </c>
      <c r="S12" s="204">
        <f t="shared" si="1"/>
        <v>0.30569655950366609</v>
      </c>
      <c r="T12" s="204">
        <f t="shared" si="2"/>
        <v>0.3355893965031021</v>
      </c>
      <c r="U12" s="204">
        <f t="shared" si="3"/>
        <v>0.54716981132075471</v>
      </c>
      <c r="V12" s="204">
        <f t="shared" si="4"/>
        <v>0.27586206896551724</v>
      </c>
      <c r="W12" s="204">
        <f t="shared" si="5"/>
        <v>0.15094339622641509</v>
      </c>
      <c r="X12" s="204">
        <f t="shared" si="6"/>
        <v>0.51329243353783227</v>
      </c>
      <c r="Y12" s="204">
        <f t="shared" si="7"/>
        <v>0.33742331288343558</v>
      </c>
      <c r="Z12" s="204">
        <f t="shared" si="8"/>
        <v>0.1492842535787321</v>
      </c>
      <c r="AA12" s="204">
        <f t="shared" si="9"/>
        <v>0.1982475355969332</v>
      </c>
      <c r="AB12" s="204">
        <f t="shared" si="10"/>
        <v>0.29025191675794088</v>
      </c>
      <c r="AC12" s="204">
        <f t="shared" si="11"/>
        <v>2.5745856353591159</v>
      </c>
    </row>
    <row r="13" spans="1:31" ht="12.45" customHeight="1">
      <c r="A13" s="122" t="s">
        <v>180</v>
      </c>
      <c r="B13" s="105">
        <v>239000</v>
      </c>
      <c r="C13" s="9">
        <v>92000</v>
      </c>
      <c r="D13" s="9">
        <v>69000</v>
      </c>
      <c r="E13" s="9">
        <v>78000</v>
      </c>
      <c r="F13" s="9">
        <v>39000</v>
      </c>
      <c r="G13" s="9">
        <v>21000</v>
      </c>
      <c r="H13" s="9">
        <v>14000</v>
      </c>
      <c r="I13" s="13" t="s">
        <v>191</v>
      </c>
      <c r="J13" s="9">
        <v>33000</v>
      </c>
      <c r="K13" s="9">
        <v>15000</v>
      </c>
      <c r="L13" s="13" t="s">
        <v>191</v>
      </c>
      <c r="M13" s="9">
        <v>10000</v>
      </c>
      <c r="N13" s="9">
        <v>167000</v>
      </c>
      <c r="O13" s="9">
        <v>57000</v>
      </c>
      <c r="P13" s="9">
        <v>47000</v>
      </c>
      <c r="Q13" s="9">
        <v>64000</v>
      </c>
      <c r="R13" s="204">
        <f t="shared" si="0"/>
        <v>0.38493723849372385</v>
      </c>
      <c r="S13" s="204">
        <f t="shared" si="1"/>
        <v>0.28870292887029286</v>
      </c>
      <c r="T13" s="204">
        <f t="shared" si="2"/>
        <v>0.32635983263598328</v>
      </c>
      <c r="U13" s="204">
        <f t="shared" si="3"/>
        <v>0.53846153846153844</v>
      </c>
      <c r="V13" s="204" t="e">
        <f t="shared" si="4"/>
        <v>#VALUE!</v>
      </c>
      <c r="W13" s="204" t="e">
        <f t="shared" si="5"/>
        <v>#VALUE!</v>
      </c>
      <c r="X13" s="204">
        <f t="shared" si="6"/>
        <v>0.45454545454545453</v>
      </c>
      <c r="Y13" s="204" t="e">
        <f t="shared" si="7"/>
        <v>#VALUE!</v>
      </c>
      <c r="Z13" s="204">
        <f t="shared" si="8"/>
        <v>0.30303030303030304</v>
      </c>
      <c r="AA13" s="204">
        <f t="shared" si="9"/>
        <v>0.3413173652694611</v>
      </c>
      <c r="AB13" s="204">
        <f t="shared" si="10"/>
        <v>0.28143712574850299</v>
      </c>
      <c r="AC13" s="204">
        <f t="shared" si="11"/>
        <v>1.1228070175438596</v>
      </c>
    </row>
    <row r="14" spans="1:31" ht="12.45" customHeight="1">
      <c r="A14" s="122" t="s">
        <v>181</v>
      </c>
      <c r="B14" s="105">
        <v>1301000</v>
      </c>
      <c r="C14" s="9">
        <v>462000</v>
      </c>
      <c r="D14" s="9">
        <v>391000</v>
      </c>
      <c r="E14" s="9">
        <v>448000</v>
      </c>
      <c r="F14" s="9">
        <v>281000</v>
      </c>
      <c r="G14" s="9">
        <v>154000</v>
      </c>
      <c r="H14" s="9">
        <v>85000</v>
      </c>
      <c r="I14" s="9">
        <v>43000</v>
      </c>
      <c r="J14" s="9">
        <v>433000</v>
      </c>
      <c r="K14" s="9">
        <v>223000</v>
      </c>
      <c r="L14" s="9">
        <v>149000</v>
      </c>
      <c r="M14" s="9">
        <v>62000</v>
      </c>
      <c r="N14" s="9">
        <v>587000</v>
      </c>
      <c r="O14" s="9">
        <v>86000</v>
      </c>
      <c r="P14" s="9">
        <v>157000</v>
      </c>
      <c r="Q14" s="9">
        <v>344000</v>
      </c>
      <c r="R14" s="204">
        <f t="shared" si="0"/>
        <v>0.35511145272867023</v>
      </c>
      <c r="S14" s="204">
        <f t="shared" si="1"/>
        <v>0.30053804765564951</v>
      </c>
      <c r="T14" s="204">
        <f t="shared" si="2"/>
        <v>0.34435049961568026</v>
      </c>
      <c r="U14" s="204">
        <f t="shared" si="3"/>
        <v>0.54804270462633453</v>
      </c>
      <c r="V14" s="204">
        <f t="shared" si="4"/>
        <v>0.2792207792207792</v>
      </c>
      <c r="W14" s="204">
        <f t="shared" si="5"/>
        <v>0.15302491103202848</v>
      </c>
      <c r="X14" s="204">
        <f t="shared" si="6"/>
        <v>0.51501154734411081</v>
      </c>
      <c r="Y14" s="204">
        <f t="shared" si="7"/>
        <v>0.34411085450346418</v>
      </c>
      <c r="Z14" s="204">
        <f t="shared" si="8"/>
        <v>0.14318706697459585</v>
      </c>
      <c r="AA14" s="204">
        <f t="shared" si="9"/>
        <v>0.1465076660988075</v>
      </c>
      <c r="AB14" s="204">
        <f t="shared" si="10"/>
        <v>0.26746166950596251</v>
      </c>
      <c r="AC14" s="204">
        <f t="shared" si="11"/>
        <v>4</v>
      </c>
    </row>
    <row r="15" spans="1:31" ht="12.45" customHeight="1">
      <c r="A15" s="122" t="s">
        <v>182</v>
      </c>
      <c r="B15" s="105">
        <v>232000</v>
      </c>
      <c r="C15" s="9">
        <v>80000</v>
      </c>
      <c r="D15" s="9">
        <v>82000</v>
      </c>
      <c r="E15" s="9">
        <v>69000</v>
      </c>
      <c r="F15" s="9">
        <v>51000</v>
      </c>
      <c r="G15" s="9">
        <v>29000</v>
      </c>
      <c r="H15" s="9">
        <v>13000</v>
      </c>
      <c r="I15" s="9">
        <v>9000</v>
      </c>
      <c r="J15" s="9">
        <v>23000</v>
      </c>
      <c r="K15" s="9">
        <v>13000</v>
      </c>
      <c r="L15" s="9">
        <v>8000</v>
      </c>
      <c r="M15" s="13" t="s">
        <v>191</v>
      </c>
      <c r="N15" s="9">
        <v>159000</v>
      </c>
      <c r="O15" s="9">
        <v>38000</v>
      </c>
      <c r="P15" s="9">
        <v>62000</v>
      </c>
      <c r="Q15" s="9">
        <v>58000</v>
      </c>
      <c r="R15" s="204">
        <f t="shared" si="0"/>
        <v>0.34482758620689657</v>
      </c>
      <c r="S15" s="204">
        <f t="shared" si="1"/>
        <v>0.35344827586206895</v>
      </c>
      <c r="T15" s="204">
        <f t="shared" si="2"/>
        <v>0.29741379310344829</v>
      </c>
      <c r="U15" s="204">
        <f t="shared" si="3"/>
        <v>0.56862745098039214</v>
      </c>
      <c r="V15" s="204">
        <f t="shared" si="4"/>
        <v>0.31034482758620691</v>
      </c>
      <c r="W15" s="204">
        <f t="shared" si="5"/>
        <v>0.17647058823529413</v>
      </c>
      <c r="X15" s="204">
        <f t="shared" si="6"/>
        <v>0.56521739130434778</v>
      </c>
      <c r="Y15" s="204">
        <f t="shared" si="7"/>
        <v>0.34782608695652173</v>
      </c>
      <c r="Z15" s="204" t="e">
        <f t="shared" si="8"/>
        <v>#VALUE!</v>
      </c>
      <c r="AA15" s="204">
        <f t="shared" si="9"/>
        <v>0.2389937106918239</v>
      </c>
      <c r="AB15" s="204">
        <f t="shared" si="10"/>
        <v>0.38993710691823902</v>
      </c>
      <c r="AC15" s="204">
        <f t="shared" si="11"/>
        <v>1.5263157894736843</v>
      </c>
    </row>
    <row r="16" spans="1:31" ht="12.45" customHeight="1">
      <c r="A16" s="121" t="s">
        <v>183</v>
      </c>
      <c r="B16" s="105">
        <v>2133000</v>
      </c>
      <c r="C16" s="9">
        <v>1263000</v>
      </c>
      <c r="D16" s="9">
        <v>587000</v>
      </c>
      <c r="E16" s="9">
        <v>284000</v>
      </c>
      <c r="F16" s="9">
        <v>1137000</v>
      </c>
      <c r="G16" s="9">
        <v>843000</v>
      </c>
      <c r="H16" s="9">
        <v>270000</v>
      </c>
      <c r="I16" s="9">
        <v>24000</v>
      </c>
      <c r="J16" s="9">
        <v>321000</v>
      </c>
      <c r="K16" s="9">
        <v>216000</v>
      </c>
      <c r="L16" s="9">
        <v>84000</v>
      </c>
      <c r="M16" s="9">
        <v>21000</v>
      </c>
      <c r="N16" s="9">
        <v>675000</v>
      </c>
      <c r="O16" s="9">
        <v>204000</v>
      </c>
      <c r="P16" s="9">
        <v>233000</v>
      </c>
      <c r="Q16" s="9">
        <v>238000</v>
      </c>
      <c r="R16" s="204">
        <f t="shared" si="0"/>
        <v>0.59212376933895916</v>
      </c>
      <c r="S16" s="204">
        <f t="shared" si="1"/>
        <v>0.27519924988279421</v>
      </c>
      <c r="T16" s="204">
        <f t="shared" si="2"/>
        <v>0.13314580403187998</v>
      </c>
      <c r="U16" s="204">
        <f t="shared" si="3"/>
        <v>0.74142480211081796</v>
      </c>
      <c r="V16" s="204">
        <f t="shared" si="4"/>
        <v>2.8469750889679714E-2</v>
      </c>
      <c r="W16" s="204">
        <f t="shared" si="5"/>
        <v>2.1108179419525065E-2</v>
      </c>
      <c r="X16" s="204">
        <f t="shared" si="6"/>
        <v>0.67289719626168221</v>
      </c>
      <c r="Y16" s="204">
        <f t="shared" si="7"/>
        <v>0.26168224299065418</v>
      </c>
      <c r="Z16" s="204">
        <f t="shared" si="8"/>
        <v>6.5420560747663545E-2</v>
      </c>
      <c r="AA16" s="204">
        <f t="shared" si="9"/>
        <v>0.30222222222222223</v>
      </c>
      <c r="AB16" s="204">
        <f t="shared" si="10"/>
        <v>0.34518518518518521</v>
      </c>
      <c r="AC16" s="204">
        <f t="shared" si="11"/>
        <v>1.1666666666666667</v>
      </c>
    </row>
    <row r="17" spans="1:29" ht="12.45" customHeight="1">
      <c r="A17" s="122" t="s">
        <v>184</v>
      </c>
      <c r="B17" s="105">
        <v>1694000</v>
      </c>
      <c r="C17" s="9">
        <v>1081000</v>
      </c>
      <c r="D17" s="9">
        <v>420000</v>
      </c>
      <c r="E17" s="9">
        <v>193000</v>
      </c>
      <c r="F17" s="9">
        <v>1024000</v>
      </c>
      <c r="G17" s="9">
        <v>798000</v>
      </c>
      <c r="H17" s="9">
        <v>208000</v>
      </c>
      <c r="I17" s="9">
        <v>18000</v>
      </c>
      <c r="J17" s="9">
        <v>214000</v>
      </c>
      <c r="K17" s="9">
        <v>143000</v>
      </c>
      <c r="L17" s="9">
        <v>54000</v>
      </c>
      <c r="M17" s="9">
        <v>17000</v>
      </c>
      <c r="N17" s="9">
        <v>456000</v>
      </c>
      <c r="O17" s="9">
        <v>140000</v>
      </c>
      <c r="P17" s="9">
        <v>158000</v>
      </c>
      <c r="Q17" s="9">
        <v>157000</v>
      </c>
      <c r="R17" s="204">
        <f t="shared" si="0"/>
        <v>0.63813459268004724</v>
      </c>
      <c r="S17" s="204">
        <f t="shared" si="1"/>
        <v>0.24793388429752067</v>
      </c>
      <c r="T17" s="204">
        <f t="shared" si="2"/>
        <v>0.11393152302243212</v>
      </c>
      <c r="U17" s="204">
        <f t="shared" si="3"/>
        <v>0.779296875</v>
      </c>
      <c r="V17" s="204">
        <f t="shared" si="4"/>
        <v>2.2556390977443608E-2</v>
      </c>
      <c r="W17" s="204">
        <f t="shared" si="5"/>
        <v>1.7578125E-2</v>
      </c>
      <c r="X17" s="204">
        <f t="shared" si="6"/>
        <v>0.66822429906542058</v>
      </c>
      <c r="Y17" s="204">
        <f t="shared" si="7"/>
        <v>0.25233644859813081</v>
      </c>
      <c r="Z17" s="204">
        <f t="shared" si="8"/>
        <v>7.9439252336448593E-2</v>
      </c>
      <c r="AA17" s="204">
        <f t="shared" si="9"/>
        <v>0.30701754385964913</v>
      </c>
      <c r="AB17" s="204">
        <f t="shared" si="10"/>
        <v>0.34649122807017546</v>
      </c>
      <c r="AC17" s="204">
        <f t="shared" si="11"/>
        <v>1.1214285714285714</v>
      </c>
    </row>
    <row r="18" spans="1:29" ht="12.45" customHeight="1">
      <c r="A18" s="122" t="s">
        <v>185</v>
      </c>
      <c r="B18" s="105">
        <v>440000</v>
      </c>
      <c r="C18" s="9">
        <v>182000</v>
      </c>
      <c r="D18" s="9">
        <v>167000</v>
      </c>
      <c r="E18" s="9">
        <v>91000</v>
      </c>
      <c r="F18" s="9">
        <v>113000</v>
      </c>
      <c r="G18" s="9">
        <v>45000</v>
      </c>
      <c r="H18" s="9">
        <v>62000</v>
      </c>
      <c r="I18" s="9">
        <v>6000</v>
      </c>
      <c r="J18" s="9">
        <v>107000</v>
      </c>
      <c r="K18" s="9">
        <v>73000</v>
      </c>
      <c r="L18" s="9">
        <v>30000</v>
      </c>
      <c r="M18" s="13" t="s">
        <v>191</v>
      </c>
      <c r="N18" s="9">
        <v>219000</v>
      </c>
      <c r="O18" s="9">
        <v>63000</v>
      </c>
      <c r="P18" s="9">
        <v>75000</v>
      </c>
      <c r="Q18" s="9">
        <v>81000</v>
      </c>
      <c r="R18" s="204">
        <f t="shared" si="0"/>
        <v>0.41363636363636364</v>
      </c>
      <c r="S18" s="204">
        <f t="shared" si="1"/>
        <v>0.37954545454545452</v>
      </c>
      <c r="T18" s="204">
        <f t="shared" si="2"/>
        <v>0.20681818181818182</v>
      </c>
      <c r="U18" s="204">
        <f t="shared" si="3"/>
        <v>0.39823008849557523</v>
      </c>
      <c r="V18" s="204">
        <f t="shared" si="4"/>
        <v>0.13333333333333333</v>
      </c>
      <c r="W18" s="204">
        <f t="shared" si="5"/>
        <v>5.3097345132743362E-2</v>
      </c>
      <c r="X18" s="204">
        <f t="shared" si="6"/>
        <v>0.68224299065420557</v>
      </c>
      <c r="Y18" s="204">
        <f t="shared" si="7"/>
        <v>0.28037383177570091</v>
      </c>
      <c r="Z18" s="204" t="e">
        <f t="shared" si="8"/>
        <v>#VALUE!</v>
      </c>
      <c r="AA18" s="204">
        <f t="shared" si="9"/>
        <v>0.28767123287671231</v>
      </c>
      <c r="AB18" s="204">
        <f t="shared" si="10"/>
        <v>0.34246575342465752</v>
      </c>
      <c r="AC18" s="204">
        <f t="shared" si="11"/>
        <v>1.2857142857142858</v>
      </c>
    </row>
    <row r="19" spans="1:29" ht="12.45" customHeight="1">
      <c r="A19" s="121" t="s">
        <v>186</v>
      </c>
      <c r="B19" s="105">
        <v>517000</v>
      </c>
      <c r="C19" s="9">
        <v>195000</v>
      </c>
      <c r="D19" s="9">
        <v>137000</v>
      </c>
      <c r="E19" s="9">
        <v>185000</v>
      </c>
      <c r="F19" s="9">
        <v>199000</v>
      </c>
      <c r="G19" s="9">
        <v>121000</v>
      </c>
      <c r="H19" s="9">
        <v>48000</v>
      </c>
      <c r="I19" s="9">
        <v>31000</v>
      </c>
      <c r="J19" s="9">
        <v>99000</v>
      </c>
      <c r="K19" s="9">
        <v>47000</v>
      </c>
      <c r="L19" s="9">
        <v>40000</v>
      </c>
      <c r="M19" s="9">
        <v>13000</v>
      </c>
      <c r="N19" s="9">
        <v>218000</v>
      </c>
      <c r="O19" s="9">
        <v>27000</v>
      </c>
      <c r="P19" s="9">
        <v>50000</v>
      </c>
      <c r="Q19" s="9">
        <v>141000</v>
      </c>
      <c r="R19" s="204">
        <f t="shared" si="0"/>
        <v>0.37717601547388779</v>
      </c>
      <c r="S19" s="204">
        <f t="shared" si="1"/>
        <v>0.26499032882011603</v>
      </c>
      <c r="T19" s="204">
        <f t="shared" si="2"/>
        <v>0.35783365570599612</v>
      </c>
      <c r="U19" s="204">
        <f t="shared" si="3"/>
        <v>0.60804020100502509</v>
      </c>
      <c r="V19" s="204">
        <f t="shared" si="4"/>
        <v>0.256198347107438</v>
      </c>
      <c r="W19" s="204">
        <f t="shared" si="5"/>
        <v>0.15577889447236182</v>
      </c>
      <c r="X19" s="204">
        <f t="shared" si="6"/>
        <v>0.47474747474747475</v>
      </c>
      <c r="Y19" s="204">
        <f t="shared" si="7"/>
        <v>0.40404040404040403</v>
      </c>
      <c r="Z19" s="204">
        <f t="shared" si="8"/>
        <v>0.13131313131313133</v>
      </c>
      <c r="AA19" s="204">
        <f t="shared" si="9"/>
        <v>0.12385321100917432</v>
      </c>
      <c r="AB19" s="204">
        <f t="shared" si="10"/>
        <v>0.22935779816513763</v>
      </c>
      <c r="AC19" s="204">
        <f t="shared" si="11"/>
        <v>5.2222222222222223</v>
      </c>
    </row>
    <row r="20" spans="1:29" ht="12.45" customHeight="1">
      <c r="A20" s="122" t="s">
        <v>187</v>
      </c>
      <c r="B20" s="105">
        <v>221000</v>
      </c>
      <c r="C20" s="9">
        <v>102000</v>
      </c>
      <c r="D20" s="9">
        <v>68000</v>
      </c>
      <c r="E20" s="9">
        <v>52000</v>
      </c>
      <c r="F20" s="9">
        <v>93000</v>
      </c>
      <c r="G20" s="9">
        <v>60000</v>
      </c>
      <c r="H20" s="9">
        <v>17000</v>
      </c>
      <c r="I20" s="9">
        <v>16000</v>
      </c>
      <c r="J20" s="9">
        <v>55000</v>
      </c>
      <c r="K20" s="9">
        <v>28000</v>
      </c>
      <c r="L20" s="9">
        <v>23000</v>
      </c>
      <c r="M20" s="9">
        <v>3000</v>
      </c>
      <c r="N20" s="9">
        <v>73000</v>
      </c>
      <c r="O20" s="9">
        <v>14000</v>
      </c>
      <c r="P20" s="9">
        <v>27000</v>
      </c>
      <c r="Q20" s="9">
        <v>32000</v>
      </c>
      <c r="R20" s="204">
        <f t="shared" si="0"/>
        <v>0.46153846153846156</v>
      </c>
      <c r="S20" s="204">
        <f t="shared" si="1"/>
        <v>0.30769230769230771</v>
      </c>
      <c r="T20" s="204">
        <f t="shared" si="2"/>
        <v>0.23529411764705882</v>
      </c>
      <c r="U20" s="204">
        <f t="shared" si="3"/>
        <v>0.64516129032258063</v>
      </c>
      <c r="V20" s="204">
        <f t="shared" si="4"/>
        <v>0.26666666666666666</v>
      </c>
      <c r="W20" s="204">
        <f t="shared" si="5"/>
        <v>0.17204301075268819</v>
      </c>
      <c r="X20" s="204">
        <f t="shared" si="6"/>
        <v>0.50909090909090904</v>
      </c>
      <c r="Y20" s="204">
        <f t="shared" si="7"/>
        <v>0.41818181818181815</v>
      </c>
      <c r="Z20" s="204">
        <f t="shared" si="8"/>
        <v>5.4545454545454543E-2</v>
      </c>
      <c r="AA20" s="204">
        <f t="shared" si="9"/>
        <v>0.19178082191780821</v>
      </c>
      <c r="AB20" s="204">
        <f t="shared" si="10"/>
        <v>0.36986301369863012</v>
      </c>
      <c r="AC20" s="204">
        <f t="shared" si="11"/>
        <v>2.2857142857142856</v>
      </c>
    </row>
    <row r="21" spans="1:29" ht="12.45" customHeight="1">
      <c r="A21" s="122" t="s">
        <v>188</v>
      </c>
      <c r="B21" s="105">
        <v>172000</v>
      </c>
      <c r="C21" s="9">
        <v>51000</v>
      </c>
      <c r="D21" s="9">
        <v>35000</v>
      </c>
      <c r="E21" s="9">
        <v>86000</v>
      </c>
      <c r="F21" s="9">
        <v>54000</v>
      </c>
      <c r="G21" s="9">
        <v>34000</v>
      </c>
      <c r="H21" s="9">
        <v>15000</v>
      </c>
      <c r="I21" s="13" t="s">
        <v>191</v>
      </c>
      <c r="J21" s="9">
        <v>24000</v>
      </c>
      <c r="K21" s="9">
        <v>9000</v>
      </c>
      <c r="L21" s="9">
        <v>6000</v>
      </c>
      <c r="M21" s="13" t="s">
        <v>191</v>
      </c>
      <c r="N21" s="9">
        <v>94000</v>
      </c>
      <c r="O21" s="9">
        <v>8000</v>
      </c>
      <c r="P21" s="9">
        <v>14000</v>
      </c>
      <c r="Q21" s="9">
        <v>72000</v>
      </c>
      <c r="R21" s="204">
        <f t="shared" si="0"/>
        <v>0.29651162790697677</v>
      </c>
      <c r="S21" s="204">
        <f t="shared" si="1"/>
        <v>0.20348837209302326</v>
      </c>
      <c r="T21" s="204">
        <f t="shared" si="2"/>
        <v>0.5</v>
      </c>
      <c r="U21" s="204">
        <f t="shared" si="3"/>
        <v>0.62962962962962965</v>
      </c>
      <c r="V21" s="204" t="e">
        <f t="shared" si="4"/>
        <v>#VALUE!</v>
      </c>
      <c r="W21" s="204" t="e">
        <f t="shared" si="5"/>
        <v>#VALUE!</v>
      </c>
      <c r="X21" s="204">
        <f t="shared" si="6"/>
        <v>0.375</v>
      </c>
      <c r="Y21" s="204">
        <f t="shared" si="7"/>
        <v>0.25</v>
      </c>
      <c r="Z21" s="204" t="e">
        <f t="shared" si="8"/>
        <v>#VALUE!</v>
      </c>
      <c r="AA21" s="204">
        <f t="shared" si="9"/>
        <v>8.5106382978723402E-2</v>
      </c>
      <c r="AB21" s="204">
        <f t="shared" si="10"/>
        <v>0.14893617021276595</v>
      </c>
      <c r="AC21" s="204">
        <f t="shared" si="11"/>
        <v>9</v>
      </c>
    </row>
    <row r="22" spans="1:29" ht="12.45" customHeight="1">
      <c r="A22" s="122" t="s">
        <v>189</v>
      </c>
      <c r="B22" s="105">
        <v>106000</v>
      </c>
      <c r="C22" s="9">
        <v>38000</v>
      </c>
      <c r="D22" s="9">
        <v>29000</v>
      </c>
      <c r="E22" s="9">
        <v>40000</v>
      </c>
      <c r="F22" s="9">
        <v>49000</v>
      </c>
      <c r="G22" s="9">
        <v>27000</v>
      </c>
      <c r="H22" s="9">
        <v>14000</v>
      </c>
      <c r="I22" s="9">
        <v>9000</v>
      </c>
      <c r="J22" s="9">
        <v>16000</v>
      </c>
      <c r="K22" s="9">
        <v>5000</v>
      </c>
      <c r="L22" s="9">
        <v>10000</v>
      </c>
      <c r="M22" s="13" t="s">
        <v>191</v>
      </c>
      <c r="N22" s="9">
        <v>40000</v>
      </c>
      <c r="O22" s="13" t="s">
        <v>191</v>
      </c>
      <c r="P22" s="9">
        <v>5000</v>
      </c>
      <c r="Q22" s="9">
        <v>30000</v>
      </c>
      <c r="R22" s="204">
        <f t="shared" si="0"/>
        <v>0.35849056603773582</v>
      </c>
      <c r="S22" s="204">
        <f t="shared" si="1"/>
        <v>0.27358490566037735</v>
      </c>
      <c r="T22" s="204">
        <f t="shared" si="2"/>
        <v>0.37735849056603776</v>
      </c>
      <c r="U22" s="204">
        <f t="shared" si="3"/>
        <v>0.55102040816326525</v>
      </c>
      <c r="V22" s="204">
        <f t="shared" si="4"/>
        <v>0.33333333333333331</v>
      </c>
      <c r="W22" s="204">
        <f t="shared" si="5"/>
        <v>0.18367346938775511</v>
      </c>
      <c r="X22" s="204">
        <f t="shared" si="6"/>
        <v>0.3125</v>
      </c>
      <c r="Y22" s="204">
        <f t="shared" si="7"/>
        <v>0.625</v>
      </c>
      <c r="Z22" s="204" t="e">
        <f t="shared" si="8"/>
        <v>#VALUE!</v>
      </c>
      <c r="AA22" s="204" t="e">
        <f t="shared" si="9"/>
        <v>#VALUE!</v>
      </c>
      <c r="AB22" s="204">
        <f t="shared" si="10"/>
        <v>0.125</v>
      </c>
      <c r="AC22" s="204" t="e">
        <f t="shared" si="11"/>
        <v>#VALUE!</v>
      </c>
    </row>
    <row r="23" spans="1:29" ht="12.45" customHeight="1">
      <c r="A23" s="122" t="s">
        <v>190</v>
      </c>
      <c r="B23" s="105">
        <v>17000</v>
      </c>
      <c r="C23" s="9">
        <v>5000</v>
      </c>
      <c r="D23" s="9">
        <v>5000</v>
      </c>
      <c r="E23" s="13" t="s">
        <v>191</v>
      </c>
      <c r="F23" s="13" t="s">
        <v>191</v>
      </c>
      <c r="G23" s="13" t="s">
        <v>220</v>
      </c>
      <c r="H23" s="13" t="s">
        <v>220</v>
      </c>
      <c r="I23" s="13" t="s">
        <v>220</v>
      </c>
      <c r="J23" s="9">
        <v>4000</v>
      </c>
      <c r="K23" s="13" t="s">
        <v>191</v>
      </c>
      <c r="L23" s="13" t="s">
        <v>220</v>
      </c>
      <c r="M23" s="13" t="s">
        <v>220</v>
      </c>
      <c r="N23" s="9">
        <v>11000</v>
      </c>
      <c r="O23" s="13" t="s">
        <v>220</v>
      </c>
      <c r="P23" s="9">
        <v>3000</v>
      </c>
      <c r="Q23" s="13" t="s">
        <v>191</v>
      </c>
      <c r="R23" s="204">
        <f t="shared" si="0"/>
        <v>0.29411764705882354</v>
      </c>
      <c r="S23" s="204">
        <f t="shared" si="1"/>
        <v>0.29411764705882354</v>
      </c>
      <c r="T23" s="204" t="e">
        <f t="shared" si="2"/>
        <v>#VALUE!</v>
      </c>
      <c r="U23" s="204" t="e">
        <f t="shared" si="3"/>
        <v>#VALUE!</v>
      </c>
      <c r="V23" s="204" t="e">
        <f t="shared" si="4"/>
        <v>#VALUE!</v>
      </c>
      <c r="W23" s="204" t="e">
        <f t="shared" si="5"/>
        <v>#VALUE!</v>
      </c>
      <c r="X23" s="204" t="e">
        <f t="shared" si="6"/>
        <v>#VALUE!</v>
      </c>
      <c r="Y23" s="204" t="e">
        <f t="shared" si="7"/>
        <v>#VALUE!</v>
      </c>
      <c r="Z23" s="204" t="e">
        <f t="shared" si="8"/>
        <v>#VALUE!</v>
      </c>
      <c r="AA23" s="204" t="e">
        <f t="shared" si="9"/>
        <v>#VALUE!</v>
      </c>
      <c r="AB23" s="204">
        <f t="shared" si="10"/>
        <v>0.27272727272727271</v>
      </c>
      <c r="AC23" s="204" t="e">
        <f t="shared" si="11"/>
        <v>#VALUE!</v>
      </c>
    </row>
    <row r="24" spans="1:29" ht="12.45" customHeight="1">
      <c r="A24" s="121" t="s">
        <v>192</v>
      </c>
      <c r="B24" s="105">
        <v>4229000</v>
      </c>
      <c r="C24" s="9">
        <v>1050000</v>
      </c>
      <c r="D24" s="9">
        <v>1456000</v>
      </c>
      <c r="E24" s="9">
        <v>1723000</v>
      </c>
      <c r="F24" s="9">
        <v>321000</v>
      </c>
      <c r="G24" s="9">
        <v>101000</v>
      </c>
      <c r="H24" s="9">
        <v>92000</v>
      </c>
      <c r="I24" s="9">
        <v>128000</v>
      </c>
      <c r="J24" s="9">
        <v>353000</v>
      </c>
      <c r="K24" s="9">
        <v>132000</v>
      </c>
      <c r="L24" s="9">
        <v>86000</v>
      </c>
      <c r="M24" s="9">
        <v>135000</v>
      </c>
      <c r="N24" s="9">
        <v>3554000</v>
      </c>
      <c r="O24" s="9">
        <v>818000</v>
      </c>
      <c r="P24" s="9">
        <v>1277000</v>
      </c>
      <c r="Q24" s="9">
        <v>1459000</v>
      </c>
      <c r="R24" s="204">
        <f t="shared" si="0"/>
        <v>0.24828564672499409</v>
      </c>
      <c r="S24" s="204">
        <f t="shared" si="1"/>
        <v>0.34428943012532515</v>
      </c>
      <c r="T24" s="204">
        <f t="shared" si="2"/>
        <v>0.40742492314968076</v>
      </c>
      <c r="U24" s="204">
        <f t="shared" si="3"/>
        <v>0.31464174454828658</v>
      </c>
      <c r="V24" s="204">
        <f t="shared" si="4"/>
        <v>1.2673267326732673</v>
      </c>
      <c r="W24" s="204">
        <f t="shared" si="5"/>
        <v>0.39875389408099687</v>
      </c>
      <c r="X24" s="204">
        <f t="shared" si="6"/>
        <v>0.37393767705382436</v>
      </c>
      <c r="Y24" s="204">
        <f t="shared" si="7"/>
        <v>0.24362606232294617</v>
      </c>
      <c r="Z24" s="204">
        <f t="shared" si="8"/>
        <v>0.38243626062322944</v>
      </c>
      <c r="AA24" s="204">
        <f t="shared" si="9"/>
        <v>0.23016319639842431</v>
      </c>
      <c r="AB24" s="204">
        <f t="shared" si="10"/>
        <v>0.35931344963421497</v>
      </c>
      <c r="AC24" s="204">
        <f t="shared" si="11"/>
        <v>1.7836185819070904</v>
      </c>
    </row>
    <row r="25" spans="1:29" ht="12.45" customHeight="1">
      <c r="A25" s="122" t="s">
        <v>193</v>
      </c>
      <c r="B25" s="105">
        <v>714000</v>
      </c>
      <c r="C25" s="9">
        <v>210000</v>
      </c>
      <c r="D25" s="9">
        <v>320000</v>
      </c>
      <c r="E25" s="9">
        <v>183000</v>
      </c>
      <c r="F25" s="9">
        <v>67000</v>
      </c>
      <c r="G25" s="9">
        <v>22000</v>
      </c>
      <c r="H25" s="9">
        <v>26000</v>
      </c>
      <c r="I25" s="9">
        <v>19000</v>
      </c>
      <c r="J25" s="9">
        <v>34000</v>
      </c>
      <c r="K25" s="9">
        <v>7000</v>
      </c>
      <c r="L25" s="9">
        <v>12000</v>
      </c>
      <c r="M25" s="9">
        <v>15000</v>
      </c>
      <c r="N25" s="9">
        <v>613000</v>
      </c>
      <c r="O25" s="9">
        <v>181000</v>
      </c>
      <c r="P25" s="9">
        <v>283000</v>
      </c>
      <c r="Q25" s="9">
        <v>149000</v>
      </c>
      <c r="R25" s="204">
        <f t="shared" si="0"/>
        <v>0.29411764705882354</v>
      </c>
      <c r="S25" s="204">
        <f t="shared" si="1"/>
        <v>0.44817927170868349</v>
      </c>
      <c r="T25" s="204">
        <f t="shared" si="2"/>
        <v>0.25630252100840334</v>
      </c>
      <c r="U25" s="204">
        <f t="shared" si="3"/>
        <v>0.32835820895522388</v>
      </c>
      <c r="V25" s="204">
        <f t="shared" si="4"/>
        <v>0.86363636363636365</v>
      </c>
      <c r="W25" s="204">
        <f t="shared" si="5"/>
        <v>0.28358208955223879</v>
      </c>
      <c r="X25" s="204">
        <f t="shared" si="6"/>
        <v>0.20588235294117646</v>
      </c>
      <c r="Y25" s="204">
        <f t="shared" si="7"/>
        <v>0.35294117647058826</v>
      </c>
      <c r="Z25" s="204">
        <f t="shared" si="8"/>
        <v>0.44117647058823528</v>
      </c>
      <c r="AA25" s="204">
        <f t="shared" si="9"/>
        <v>0.29526916802610115</v>
      </c>
      <c r="AB25" s="204">
        <f t="shared" si="10"/>
        <v>0.46166394779771613</v>
      </c>
      <c r="AC25" s="204">
        <f t="shared" si="11"/>
        <v>0.82320441988950277</v>
      </c>
    </row>
    <row r="26" spans="1:29" ht="12.45" customHeight="1">
      <c r="A26" s="122" t="s">
        <v>194</v>
      </c>
      <c r="B26" s="105">
        <v>777000</v>
      </c>
      <c r="C26" s="9">
        <v>140000</v>
      </c>
      <c r="D26" s="9">
        <v>245000</v>
      </c>
      <c r="E26" s="9">
        <v>392000</v>
      </c>
      <c r="F26" s="9">
        <v>52000</v>
      </c>
      <c r="G26" s="9">
        <v>10000</v>
      </c>
      <c r="H26" s="9">
        <v>14000</v>
      </c>
      <c r="I26" s="9">
        <v>29000</v>
      </c>
      <c r="J26" s="9">
        <v>53000</v>
      </c>
      <c r="K26" s="9">
        <v>15000</v>
      </c>
      <c r="L26" s="9">
        <v>13000</v>
      </c>
      <c r="M26" s="9">
        <v>25000</v>
      </c>
      <c r="N26" s="9">
        <v>671000</v>
      </c>
      <c r="O26" s="9">
        <v>114000</v>
      </c>
      <c r="P26" s="9">
        <v>218000</v>
      </c>
      <c r="Q26" s="9">
        <v>339000</v>
      </c>
      <c r="R26" s="204">
        <f t="shared" si="0"/>
        <v>0.18018018018018017</v>
      </c>
      <c r="S26" s="204">
        <f t="shared" si="1"/>
        <v>0.31531531531531531</v>
      </c>
      <c r="T26" s="204">
        <f t="shared" si="2"/>
        <v>0.50450450450450446</v>
      </c>
      <c r="U26" s="204">
        <f t="shared" si="3"/>
        <v>0.19230769230769232</v>
      </c>
      <c r="V26" s="204">
        <f t="shared" si="4"/>
        <v>2.9</v>
      </c>
      <c r="W26" s="204">
        <f t="shared" si="5"/>
        <v>0.55769230769230771</v>
      </c>
      <c r="X26" s="204">
        <f t="shared" si="6"/>
        <v>0.28301886792452829</v>
      </c>
      <c r="Y26" s="204">
        <f t="shared" si="7"/>
        <v>0.24528301886792453</v>
      </c>
      <c r="Z26" s="204">
        <f t="shared" si="8"/>
        <v>0.47169811320754718</v>
      </c>
      <c r="AA26" s="204">
        <f t="shared" si="9"/>
        <v>0.16989567809239942</v>
      </c>
      <c r="AB26" s="204">
        <f t="shared" si="10"/>
        <v>0.32488822652757077</v>
      </c>
      <c r="AC26" s="204">
        <f t="shared" si="11"/>
        <v>2.9736842105263159</v>
      </c>
    </row>
    <row r="27" spans="1:29" ht="12.45" customHeight="1">
      <c r="A27" s="122" t="s">
        <v>195</v>
      </c>
      <c r="B27" s="105">
        <v>1521000</v>
      </c>
      <c r="C27" s="9">
        <v>436000</v>
      </c>
      <c r="D27" s="9">
        <v>518000</v>
      </c>
      <c r="E27" s="9">
        <v>567000</v>
      </c>
      <c r="F27" s="9">
        <v>108000</v>
      </c>
      <c r="G27" s="9">
        <v>40000</v>
      </c>
      <c r="H27" s="9">
        <v>29000</v>
      </c>
      <c r="I27" s="9">
        <v>40000</v>
      </c>
      <c r="J27" s="9">
        <v>146000</v>
      </c>
      <c r="K27" s="9">
        <v>66000</v>
      </c>
      <c r="L27" s="9">
        <v>42000</v>
      </c>
      <c r="M27" s="9">
        <v>38000</v>
      </c>
      <c r="N27" s="9">
        <v>1267000</v>
      </c>
      <c r="O27" s="9">
        <v>330000</v>
      </c>
      <c r="P27" s="9">
        <v>448000</v>
      </c>
      <c r="Q27" s="9">
        <v>489000</v>
      </c>
      <c r="R27" s="204">
        <f t="shared" si="0"/>
        <v>0.28665351742274819</v>
      </c>
      <c r="S27" s="204">
        <f t="shared" si="1"/>
        <v>0.34056541748849439</v>
      </c>
      <c r="T27" s="204">
        <f t="shared" si="2"/>
        <v>0.37278106508875741</v>
      </c>
      <c r="U27" s="204">
        <f t="shared" si="3"/>
        <v>0.37037037037037035</v>
      </c>
      <c r="V27" s="204">
        <f t="shared" si="4"/>
        <v>1</v>
      </c>
      <c r="W27" s="204">
        <f t="shared" si="5"/>
        <v>0.37037037037037035</v>
      </c>
      <c r="X27" s="204">
        <f t="shared" si="6"/>
        <v>0.45205479452054792</v>
      </c>
      <c r="Y27" s="204">
        <f t="shared" si="7"/>
        <v>0.28767123287671231</v>
      </c>
      <c r="Z27" s="204">
        <f t="shared" si="8"/>
        <v>0.26027397260273971</v>
      </c>
      <c r="AA27" s="204">
        <f t="shared" si="9"/>
        <v>0.26045777426992894</v>
      </c>
      <c r="AB27" s="204">
        <f t="shared" si="10"/>
        <v>0.35359116022099446</v>
      </c>
      <c r="AC27" s="204">
        <f t="shared" si="11"/>
        <v>1.4818181818181819</v>
      </c>
    </row>
    <row r="28" spans="1:29" ht="12.45" customHeight="1">
      <c r="A28" s="122" t="s">
        <v>196</v>
      </c>
      <c r="B28" s="105">
        <v>800000</v>
      </c>
      <c r="C28" s="9">
        <v>159000</v>
      </c>
      <c r="D28" s="9">
        <v>266000</v>
      </c>
      <c r="E28" s="9">
        <v>376000</v>
      </c>
      <c r="F28" s="9">
        <v>54000</v>
      </c>
      <c r="G28" s="9">
        <v>13000</v>
      </c>
      <c r="H28" s="9">
        <v>14000</v>
      </c>
      <c r="I28" s="9">
        <v>28000</v>
      </c>
      <c r="J28" s="9">
        <v>66000</v>
      </c>
      <c r="K28" s="9">
        <v>13000</v>
      </c>
      <c r="L28" s="9">
        <v>14000</v>
      </c>
      <c r="M28" s="9">
        <v>39000</v>
      </c>
      <c r="N28" s="9">
        <v>680000</v>
      </c>
      <c r="O28" s="9">
        <v>133000</v>
      </c>
      <c r="P28" s="9">
        <v>238000</v>
      </c>
      <c r="Q28" s="9">
        <v>309000</v>
      </c>
      <c r="R28" s="204">
        <f t="shared" si="0"/>
        <v>0.19875000000000001</v>
      </c>
      <c r="S28" s="204">
        <f t="shared" si="1"/>
        <v>0.33250000000000002</v>
      </c>
      <c r="T28" s="204">
        <f t="shared" si="2"/>
        <v>0.47</v>
      </c>
      <c r="U28" s="204">
        <f t="shared" si="3"/>
        <v>0.24074074074074073</v>
      </c>
      <c r="V28" s="204">
        <f t="shared" si="4"/>
        <v>2.1538461538461537</v>
      </c>
      <c r="W28" s="204">
        <f t="shared" si="5"/>
        <v>0.51851851851851849</v>
      </c>
      <c r="X28" s="204">
        <f t="shared" si="6"/>
        <v>0.19696969696969696</v>
      </c>
      <c r="Y28" s="204">
        <f t="shared" si="7"/>
        <v>0.21212121212121213</v>
      </c>
      <c r="Z28" s="204">
        <f t="shared" si="8"/>
        <v>0.59090909090909094</v>
      </c>
      <c r="AA28" s="204">
        <f t="shared" si="9"/>
        <v>0.19558823529411765</v>
      </c>
      <c r="AB28" s="204">
        <f t="shared" si="10"/>
        <v>0.35</v>
      </c>
      <c r="AC28" s="204">
        <f t="shared" si="11"/>
        <v>2.3233082706766917</v>
      </c>
    </row>
    <row r="29" spans="1:29" ht="12.45" customHeight="1">
      <c r="A29" s="122" t="s">
        <v>197</v>
      </c>
      <c r="B29" s="105">
        <v>417000</v>
      </c>
      <c r="C29" s="9">
        <v>107000</v>
      </c>
      <c r="D29" s="9">
        <v>107000</v>
      </c>
      <c r="E29" s="9">
        <v>204000</v>
      </c>
      <c r="F29" s="9">
        <v>39000</v>
      </c>
      <c r="G29" s="9">
        <v>16000</v>
      </c>
      <c r="H29" s="9">
        <v>11000</v>
      </c>
      <c r="I29" s="9">
        <v>13000</v>
      </c>
      <c r="J29" s="9">
        <v>55000</v>
      </c>
      <c r="K29" s="9">
        <v>32000</v>
      </c>
      <c r="L29" s="9">
        <v>5000</v>
      </c>
      <c r="M29" s="9">
        <v>19000</v>
      </c>
      <c r="N29" s="9">
        <v>323000</v>
      </c>
      <c r="O29" s="9">
        <v>60000</v>
      </c>
      <c r="P29" s="9">
        <v>91000</v>
      </c>
      <c r="Q29" s="9">
        <v>172000</v>
      </c>
      <c r="R29" s="204">
        <f t="shared" si="0"/>
        <v>0.25659472422062352</v>
      </c>
      <c r="S29" s="204">
        <f t="shared" si="1"/>
        <v>0.25659472422062352</v>
      </c>
      <c r="T29" s="204">
        <f t="shared" si="2"/>
        <v>0.48920863309352519</v>
      </c>
      <c r="U29" s="204">
        <f t="shared" si="3"/>
        <v>0.41025641025641024</v>
      </c>
      <c r="V29" s="204">
        <f t="shared" si="4"/>
        <v>0.8125</v>
      </c>
      <c r="W29" s="204">
        <f t="shared" si="5"/>
        <v>0.33333333333333331</v>
      </c>
      <c r="X29" s="204">
        <f t="shared" si="6"/>
        <v>0.58181818181818179</v>
      </c>
      <c r="Y29" s="204">
        <f t="shared" si="7"/>
        <v>9.0909090909090912E-2</v>
      </c>
      <c r="Z29" s="204">
        <f t="shared" si="8"/>
        <v>0.34545454545454546</v>
      </c>
      <c r="AA29" s="204">
        <f t="shared" si="9"/>
        <v>0.18575851393188855</v>
      </c>
      <c r="AB29" s="204">
        <f t="shared" si="10"/>
        <v>0.28173374613003094</v>
      </c>
      <c r="AC29" s="204">
        <f t="shared" si="11"/>
        <v>2.8666666666666667</v>
      </c>
    </row>
    <row r="30" spans="1:29" ht="12.45" customHeight="1">
      <c r="A30" s="121" t="s">
        <v>198</v>
      </c>
      <c r="B30" s="105">
        <v>2725000</v>
      </c>
      <c r="C30" s="9">
        <v>1498000</v>
      </c>
      <c r="D30" s="9">
        <v>864000</v>
      </c>
      <c r="E30" s="9">
        <v>364000</v>
      </c>
      <c r="F30" s="9">
        <v>1470000</v>
      </c>
      <c r="G30" s="9">
        <v>998000</v>
      </c>
      <c r="H30" s="9">
        <v>406000</v>
      </c>
      <c r="I30" s="9">
        <v>66000</v>
      </c>
      <c r="J30" s="9">
        <v>428000</v>
      </c>
      <c r="K30" s="9">
        <v>256000</v>
      </c>
      <c r="L30" s="9">
        <v>145000</v>
      </c>
      <c r="M30" s="9">
        <v>27000</v>
      </c>
      <c r="N30" s="9">
        <v>827000</v>
      </c>
      <c r="O30" s="9">
        <v>244000</v>
      </c>
      <c r="P30" s="9">
        <v>312000</v>
      </c>
      <c r="Q30" s="9">
        <v>271000</v>
      </c>
      <c r="R30" s="204">
        <f t="shared" si="0"/>
        <v>0.54972477064220182</v>
      </c>
      <c r="S30" s="204">
        <f t="shared" si="1"/>
        <v>0.31706422018348623</v>
      </c>
      <c r="T30" s="204">
        <f t="shared" si="2"/>
        <v>0.13357798165137616</v>
      </c>
      <c r="U30" s="204">
        <f t="shared" si="3"/>
        <v>0.67891156462585034</v>
      </c>
      <c r="V30" s="204">
        <f t="shared" si="4"/>
        <v>6.6132264529058113E-2</v>
      </c>
      <c r="W30" s="204">
        <f t="shared" si="5"/>
        <v>4.4897959183673466E-2</v>
      </c>
      <c r="X30" s="204">
        <f t="shared" si="6"/>
        <v>0.59813084112149528</v>
      </c>
      <c r="Y30" s="204">
        <f t="shared" si="7"/>
        <v>0.33878504672897197</v>
      </c>
      <c r="Z30" s="204">
        <f t="shared" si="8"/>
        <v>6.3084112149532703E-2</v>
      </c>
      <c r="AA30" s="204">
        <f t="shared" si="9"/>
        <v>0.29504232164449817</v>
      </c>
      <c r="AB30" s="204">
        <f t="shared" si="10"/>
        <v>0.37726723095525999</v>
      </c>
      <c r="AC30" s="204">
        <f t="shared" si="11"/>
        <v>1.110655737704918</v>
      </c>
    </row>
    <row r="31" spans="1:29" ht="12.45" customHeight="1">
      <c r="A31" s="122" t="s">
        <v>199</v>
      </c>
      <c r="B31" s="105">
        <v>86000</v>
      </c>
      <c r="C31" s="9">
        <v>40000</v>
      </c>
      <c r="D31" s="9">
        <v>34000</v>
      </c>
      <c r="E31" s="9">
        <v>12000</v>
      </c>
      <c r="F31" s="9">
        <v>47000</v>
      </c>
      <c r="G31" s="9">
        <v>27000</v>
      </c>
      <c r="H31" s="9">
        <v>17000</v>
      </c>
      <c r="I31" s="9">
        <v>3000</v>
      </c>
      <c r="J31" s="9">
        <v>9000</v>
      </c>
      <c r="K31" s="13" t="s">
        <v>191</v>
      </c>
      <c r="L31" s="9">
        <v>3000</v>
      </c>
      <c r="M31" s="13" t="s">
        <v>220</v>
      </c>
      <c r="N31" s="9">
        <v>30000</v>
      </c>
      <c r="O31" s="9">
        <v>8000</v>
      </c>
      <c r="P31" s="9">
        <v>14000</v>
      </c>
      <c r="Q31" s="9">
        <v>7000</v>
      </c>
      <c r="R31" s="204">
        <f t="shared" si="0"/>
        <v>0.46511627906976744</v>
      </c>
      <c r="S31" s="204">
        <f t="shared" si="1"/>
        <v>0.39534883720930231</v>
      </c>
      <c r="T31" s="204">
        <f t="shared" si="2"/>
        <v>0.13953488372093023</v>
      </c>
      <c r="U31" s="204">
        <f t="shared" si="3"/>
        <v>0.57446808510638303</v>
      </c>
      <c r="V31" s="204">
        <f t="shared" si="4"/>
        <v>0.1111111111111111</v>
      </c>
      <c r="W31" s="204">
        <f t="shared" si="5"/>
        <v>6.3829787234042548E-2</v>
      </c>
      <c r="X31" s="204" t="e">
        <f t="shared" si="6"/>
        <v>#VALUE!</v>
      </c>
      <c r="Y31" s="204">
        <f t="shared" si="7"/>
        <v>0.33333333333333331</v>
      </c>
      <c r="Z31" s="204" t="e">
        <f t="shared" si="8"/>
        <v>#VALUE!</v>
      </c>
      <c r="AA31" s="204">
        <f t="shared" si="9"/>
        <v>0.26666666666666666</v>
      </c>
      <c r="AB31" s="204">
        <f t="shared" si="10"/>
        <v>0.46666666666666667</v>
      </c>
      <c r="AC31" s="204">
        <f t="shared" si="11"/>
        <v>0.875</v>
      </c>
    </row>
    <row r="32" spans="1:29" ht="12.45" customHeight="1">
      <c r="A32" s="122" t="s">
        <v>200</v>
      </c>
      <c r="B32" s="105">
        <v>202000</v>
      </c>
      <c r="C32" s="9">
        <v>84000</v>
      </c>
      <c r="D32" s="9">
        <v>73000</v>
      </c>
      <c r="E32" s="9">
        <v>44000</v>
      </c>
      <c r="F32" s="9">
        <v>112000</v>
      </c>
      <c r="G32" s="9">
        <v>54000</v>
      </c>
      <c r="H32" s="9">
        <v>48000</v>
      </c>
      <c r="I32" s="9">
        <v>10000</v>
      </c>
      <c r="J32" s="9">
        <v>25000</v>
      </c>
      <c r="K32" s="9">
        <v>16000</v>
      </c>
      <c r="L32" s="9">
        <v>7000</v>
      </c>
      <c r="M32" s="9">
        <v>2000</v>
      </c>
      <c r="N32" s="9">
        <v>65000</v>
      </c>
      <c r="O32" s="9">
        <v>14000</v>
      </c>
      <c r="P32" s="9">
        <v>18000</v>
      </c>
      <c r="Q32" s="9">
        <v>33000</v>
      </c>
      <c r="R32" s="204">
        <f t="shared" si="0"/>
        <v>0.41584158415841582</v>
      </c>
      <c r="S32" s="204">
        <f t="shared" si="1"/>
        <v>0.36138613861386137</v>
      </c>
      <c r="T32" s="204">
        <f t="shared" si="2"/>
        <v>0.21782178217821782</v>
      </c>
      <c r="U32" s="204">
        <f t="shared" si="3"/>
        <v>0.48214285714285715</v>
      </c>
      <c r="V32" s="204">
        <f t="shared" si="4"/>
        <v>0.18518518518518517</v>
      </c>
      <c r="W32" s="204">
        <f t="shared" si="5"/>
        <v>8.9285714285714288E-2</v>
      </c>
      <c r="X32" s="204">
        <f t="shared" si="6"/>
        <v>0.64</v>
      </c>
      <c r="Y32" s="204">
        <f t="shared" si="7"/>
        <v>0.28000000000000003</v>
      </c>
      <c r="Z32" s="204">
        <f t="shared" si="8"/>
        <v>0.08</v>
      </c>
      <c r="AA32" s="204">
        <f t="shared" si="9"/>
        <v>0.2153846153846154</v>
      </c>
      <c r="AB32" s="204">
        <f t="shared" si="10"/>
        <v>0.27692307692307694</v>
      </c>
      <c r="AC32" s="204">
        <f t="shared" si="11"/>
        <v>2.3571428571428572</v>
      </c>
    </row>
    <row r="33" spans="1:29" ht="12.45" customHeight="1">
      <c r="A33" s="122" t="s">
        <v>201</v>
      </c>
      <c r="B33" s="105">
        <v>395000</v>
      </c>
      <c r="C33" s="9">
        <v>244000</v>
      </c>
      <c r="D33" s="9">
        <v>89000</v>
      </c>
      <c r="E33" s="9">
        <v>62000</v>
      </c>
      <c r="F33" s="9">
        <v>194000</v>
      </c>
      <c r="G33" s="9">
        <v>154000</v>
      </c>
      <c r="H33" s="9">
        <v>24000</v>
      </c>
      <c r="I33" s="9">
        <v>15000</v>
      </c>
      <c r="J33" s="9">
        <v>73000</v>
      </c>
      <c r="K33" s="9">
        <v>50000</v>
      </c>
      <c r="L33" s="9">
        <v>16000</v>
      </c>
      <c r="M33" s="9">
        <v>7000</v>
      </c>
      <c r="N33" s="9">
        <v>128000</v>
      </c>
      <c r="O33" s="9">
        <v>40000</v>
      </c>
      <c r="P33" s="9">
        <v>48000</v>
      </c>
      <c r="Q33" s="9">
        <v>40000</v>
      </c>
      <c r="R33" s="204">
        <f t="shared" si="0"/>
        <v>0.61772151898734173</v>
      </c>
      <c r="S33" s="204">
        <f t="shared" si="1"/>
        <v>0.22531645569620254</v>
      </c>
      <c r="T33" s="204">
        <f t="shared" si="2"/>
        <v>0.1569620253164557</v>
      </c>
      <c r="U33" s="204">
        <f t="shared" si="3"/>
        <v>0.79381443298969068</v>
      </c>
      <c r="V33" s="204">
        <f t="shared" si="4"/>
        <v>9.7402597402597407E-2</v>
      </c>
      <c r="W33" s="204">
        <f t="shared" si="5"/>
        <v>7.7319587628865982E-2</v>
      </c>
      <c r="X33" s="204">
        <f t="shared" si="6"/>
        <v>0.68493150684931503</v>
      </c>
      <c r="Y33" s="204">
        <f t="shared" si="7"/>
        <v>0.21917808219178081</v>
      </c>
      <c r="Z33" s="204">
        <f t="shared" si="8"/>
        <v>9.5890410958904104E-2</v>
      </c>
      <c r="AA33" s="204">
        <f t="shared" si="9"/>
        <v>0.3125</v>
      </c>
      <c r="AB33" s="204">
        <f t="shared" si="10"/>
        <v>0.375</v>
      </c>
      <c r="AC33" s="204">
        <f t="shared" si="11"/>
        <v>1</v>
      </c>
    </row>
    <row r="34" spans="1:29" ht="12.45" customHeight="1">
      <c r="A34" s="122" t="s">
        <v>202</v>
      </c>
      <c r="B34" s="105">
        <v>924000</v>
      </c>
      <c r="C34" s="9">
        <v>572000</v>
      </c>
      <c r="D34" s="9">
        <v>273000</v>
      </c>
      <c r="E34" s="9">
        <v>78000</v>
      </c>
      <c r="F34" s="9">
        <v>569000</v>
      </c>
      <c r="G34" s="9">
        <v>419000</v>
      </c>
      <c r="H34" s="9">
        <v>137000</v>
      </c>
      <c r="I34" s="9">
        <v>13000</v>
      </c>
      <c r="J34" s="9">
        <v>156000</v>
      </c>
      <c r="K34" s="9">
        <v>82000</v>
      </c>
      <c r="L34" s="9">
        <v>67000</v>
      </c>
      <c r="M34" s="9">
        <v>7000</v>
      </c>
      <c r="N34" s="9">
        <v>198000</v>
      </c>
      <c r="O34" s="9">
        <v>70000</v>
      </c>
      <c r="P34" s="9">
        <v>70000</v>
      </c>
      <c r="Q34" s="9">
        <v>58000</v>
      </c>
      <c r="R34" s="204">
        <f t="shared" si="0"/>
        <v>0.61904761904761907</v>
      </c>
      <c r="S34" s="204">
        <f t="shared" si="1"/>
        <v>0.29545454545454547</v>
      </c>
      <c r="T34" s="204">
        <f t="shared" si="2"/>
        <v>8.4415584415584416E-2</v>
      </c>
      <c r="U34" s="204">
        <f t="shared" si="3"/>
        <v>0.73637961335676627</v>
      </c>
      <c r="V34" s="204">
        <f t="shared" si="4"/>
        <v>3.1026252983293555E-2</v>
      </c>
      <c r="W34" s="204">
        <f t="shared" si="5"/>
        <v>2.2847100175746926E-2</v>
      </c>
      <c r="X34" s="204">
        <f t="shared" si="6"/>
        <v>0.52564102564102566</v>
      </c>
      <c r="Y34" s="204">
        <f t="shared" si="7"/>
        <v>0.42948717948717946</v>
      </c>
      <c r="Z34" s="204">
        <f t="shared" si="8"/>
        <v>4.4871794871794872E-2</v>
      </c>
      <c r="AA34" s="204">
        <f t="shared" si="9"/>
        <v>0.35353535353535354</v>
      </c>
      <c r="AB34" s="204">
        <f t="shared" si="10"/>
        <v>0.35353535353535354</v>
      </c>
      <c r="AC34" s="204">
        <f t="shared" si="11"/>
        <v>0.82857142857142863</v>
      </c>
    </row>
    <row r="35" spans="1:29" ht="12.45" customHeight="1">
      <c r="A35" s="122" t="s">
        <v>203</v>
      </c>
      <c r="B35" s="105">
        <v>154000</v>
      </c>
      <c r="C35" s="9">
        <v>65000</v>
      </c>
      <c r="D35" s="9">
        <v>66000</v>
      </c>
      <c r="E35" s="9">
        <v>22000</v>
      </c>
      <c r="F35" s="9">
        <v>46000</v>
      </c>
      <c r="G35" s="9">
        <v>22000</v>
      </c>
      <c r="H35" s="9">
        <v>22000</v>
      </c>
      <c r="I35" s="9">
        <v>1000</v>
      </c>
      <c r="J35" s="9">
        <v>26000</v>
      </c>
      <c r="K35" s="9">
        <v>14000</v>
      </c>
      <c r="L35" s="9">
        <v>10000</v>
      </c>
      <c r="M35" s="13" t="s">
        <v>191</v>
      </c>
      <c r="N35" s="9">
        <v>82000</v>
      </c>
      <c r="O35" s="9">
        <v>29000</v>
      </c>
      <c r="P35" s="9">
        <v>34000</v>
      </c>
      <c r="Q35" s="9">
        <v>19000</v>
      </c>
      <c r="R35" s="204">
        <f t="shared" si="0"/>
        <v>0.42207792207792205</v>
      </c>
      <c r="S35" s="204">
        <f t="shared" si="1"/>
        <v>0.42857142857142855</v>
      </c>
      <c r="T35" s="204">
        <f t="shared" si="2"/>
        <v>0.14285714285714285</v>
      </c>
      <c r="U35" s="204">
        <f t="shared" si="3"/>
        <v>0.47826086956521741</v>
      </c>
      <c r="V35" s="204">
        <f t="shared" si="4"/>
        <v>4.5454545454545456E-2</v>
      </c>
      <c r="W35" s="204">
        <f t="shared" si="5"/>
        <v>2.1739130434782608E-2</v>
      </c>
      <c r="X35" s="204">
        <f t="shared" si="6"/>
        <v>0.53846153846153844</v>
      </c>
      <c r="Y35" s="204">
        <f t="shared" si="7"/>
        <v>0.38461538461538464</v>
      </c>
      <c r="Z35" s="204" t="e">
        <f t="shared" si="8"/>
        <v>#VALUE!</v>
      </c>
      <c r="AA35" s="204">
        <f t="shared" si="9"/>
        <v>0.35365853658536583</v>
      </c>
      <c r="AB35" s="204">
        <f t="shared" si="10"/>
        <v>0.41463414634146339</v>
      </c>
      <c r="AC35" s="204">
        <f t="shared" si="11"/>
        <v>0.65517241379310343</v>
      </c>
    </row>
    <row r="36" spans="1:29" ht="12.45" customHeight="1">
      <c r="A36" s="122" t="s">
        <v>204</v>
      </c>
      <c r="B36" s="105">
        <v>660000</v>
      </c>
      <c r="C36" s="9">
        <v>334000</v>
      </c>
      <c r="D36" s="9">
        <v>235000</v>
      </c>
      <c r="E36" s="9">
        <v>91000</v>
      </c>
      <c r="F36" s="9">
        <v>372000</v>
      </c>
      <c r="G36" s="9">
        <v>237000</v>
      </c>
      <c r="H36" s="9">
        <v>122000</v>
      </c>
      <c r="I36" s="9">
        <v>13000</v>
      </c>
      <c r="J36" s="9">
        <v>85000</v>
      </c>
      <c r="K36" s="9">
        <v>54000</v>
      </c>
      <c r="L36" s="9">
        <v>27000</v>
      </c>
      <c r="M36" s="9">
        <v>4000</v>
      </c>
      <c r="N36" s="9">
        <v>203000</v>
      </c>
      <c r="O36" s="9">
        <v>43000</v>
      </c>
      <c r="P36" s="9">
        <v>86000</v>
      </c>
      <c r="Q36" s="9">
        <v>74000</v>
      </c>
      <c r="R36" s="204">
        <f t="shared" si="0"/>
        <v>0.5060606060606061</v>
      </c>
      <c r="S36" s="204">
        <f t="shared" si="1"/>
        <v>0.35606060606060608</v>
      </c>
      <c r="T36" s="204">
        <f t="shared" si="2"/>
        <v>0.13787878787878788</v>
      </c>
      <c r="U36" s="204">
        <f t="shared" si="3"/>
        <v>0.63709677419354838</v>
      </c>
      <c r="V36" s="204">
        <f t="shared" si="4"/>
        <v>5.4852320675105488E-2</v>
      </c>
      <c r="W36" s="204">
        <f t="shared" si="5"/>
        <v>3.4946236559139782E-2</v>
      </c>
      <c r="X36" s="204">
        <f t="shared" si="6"/>
        <v>0.63529411764705879</v>
      </c>
      <c r="Y36" s="204">
        <f t="shared" si="7"/>
        <v>0.31764705882352939</v>
      </c>
      <c r="Z36" s="204">
        <f t="shared" si="8"/>
        <v>4.7058823529411764E-2</v>
      </c>
      <c r="AA36" s="204">
        <f t="shared" si="9"/>
        <v>0.21182266009852216</v>
      </c>
      <c r="AB36" s="204">
        <f t="shared" si="10"/>
        <v>0.42364532019704432</v>
      </c>
      <c r="AC36" s="204">
        <f t="shared" si="11"/>
        <v>1.7209302325581395</v>
      </c>
    </row>
    <row r="37" spans="1:29" ht="12.45" customHeight="1">
      <c r="A37" s="122" t="s">
        <v>205</v>
      </c>
      <c r="B37" s="105">
        <v>304000</v>
      </c>
      <c r="C37" s="9">
        <v>159000</v>
      </c>
      <c r="D37" s="9">
        <v>92000</v>
      </c>
      <c r="E37" s="9">
        <v>53000</v>
      </c>
      <c r="F37" s="9">
        <v>130000</v>
      </c>
      <c r="G37" s="9">
        <v>84000</v>
      </c>
      <c r="H37" s="9">
        <v>36000</v>
      </c>
      <c r="I37" s="9">
        <v>11000</v>
      </c>
      <c r="J37" s="9">
        <v>52000</v>
      </c>
      <c r="K37" s="9">
        <v>35000</v>
      </c>
      <c r="L37" s="9">
        <v>15000</v>
      </c>
      <c r="M37" s="13" t="s">
        <v>191</v>
      </c>
      <c r="N37" s="9">
        <v>121000</v>
      </c>
      <c r="O37" s="9">
        <v>40000</v>
      </c>
      <c r="P37" s="9">
        <v>41000</v>
      </c>
      <c r="Q37" s="9">
        <v>40000</v>
      </c>
      <c r="R37" s="204">
        <f t="shared" si="0"/>
        <v>0.52302631578947367</v>
      </c>
      <c r="S37" s="204">
        <f t="shared" si="1"/>
        <v>0.30263157894736842</v>
      </c>
      <c r="T37" s="204">
        <f t="shared" si="2"/>
        <v>0.17434210526315788</v>
      </c>
      <c r="U37" s="204">
        <f t="shared" si="3"/>
        <v>0.64615384615384619</v>
      </c>
      <c r="V37" s="204">
        <f t="shared" si="4"/>
        <v>0.13095238095238096</v>
      </c>
      <c r="W37" s="204">
        <f t="shared" si="5"/>
        <v>8.461538461538462E-2</v>
      </c>
      <c r="X37" s="204">
        <f t="shared" si="6"/>
        <v>0.67307692307692313</v>
      </c>
      <c r="Y37" s="204">
        <f t="shared" si="7"/>
        <v>0.28846153846153844</v>
      </c>
      <c r="Z37" s="204" t="e">
        <f t="shared" si="8"/>
        <v>#VALUE!</v>
      </c>
      <c r="AA37" s="204">
        <f t="shared" si="9"/>
        <v>0.33057851239669422</v>
      </c>
      <c r="AB37" s="204">
        <f t="shared" si="10"/>
        <v>0.33884297520661155</v>
      </c>
      <c r="AC37" s="204">
        <f t="shared" si="11"/>
        <v>1</v>
      </c>
    </row>
    <row r="38" spans="1:29" ht="12.45" customHeight="1">
      <c r="A38" s="120" t="s">
        <v>206</v>
      </c>
      <c r="B38" s="105">
        <v>3821000</v>
      </c>
      <c r="C38" s="9">
        <v>2652000</v>
      </c>
      <c r="D38" s="9">
        <v>669000</v>
      </c>
      <c r="E38" s="9">
        <v>500000</v>
      </c>
      <c r="F38" s="9">
        <v>203000</v>
      </c>
      <c r="G38" s="9">
        <v>120000</v>
      </c>
      <c r="H38" s="9">
        <v>62000</v>
      </c>
      <c r="I38" s="9">
        <v>21000</v>
      </c>
      <c r="J38" s="9">
        <v>2494000</v>
      </c>
      <c r="K38" s="9">
        <v>2186000</v>
      </c>
      <c r="L38" s="9">
        <v>264000</v>
      </c>
      <c r="M38" s="9">
        <v>45000</v>
      </c>
      <c r="N38" s="9">
        <v>1123000</v>
      </c>
      <c r="O38" s="9">
        <v>346000</v>
      </c>
      <c r="P38" s="9">
        <v>343000</v>
      </c>
      <c r="Q38" s="9">
        <v>433000</v>
      </c>
      <c r="R38" s="204">
        <f t="shared" si="0"/>
        <v>0.69405914682020409</v>
      </c>
      <c r="S38" s="204">
        <f t="shared" si="1"/>
        <v>0.17508505626799267</v>
      </c>
      <c r="T38" s="204">
        <f t="shared" si="2"/>
        <v>0.13085579691180318</v>
      </c>
      <c r="U38" s="204">
        <f t="shared" si="3"/>
        <v>0.59113300492610843</v>
      </c>
      <c r="V38" s="204">
        <f t="shared" si="4"/>
        <v>0.17499999999999999</v>
      </c>
      <c r="W38" s="204">
        <f t="shared" si="5"/>
        <v>0.10344827586206896</v>
      </c>
      <c r="X38" s="204">
        <f t="shared" si="6"/>
        <v>0.87650360866078592</v>
      </c>
      <c r="Y38" s="204">
        <f t="shared" si="7"/>
        <v>0.10585404971932638</v>
      </c>
      <c r="Z38" s="204">
        <f t="shared" si="8"/>
        <v>1.8043303929430633E-2</v>
      </c>
      <c r="AA38" s="204">
        <f t="shared" si="9"/>
        <v>0.30810329474621551</v>
      </c>
      <c r="AB38" s="204">
        <f t="shared" si="10"/>
        <v>0.3054318788958148</v>
      </c>
      <c r="AC38" s="204">
        <f t="shared" si="11"/>
        <v>1.2514450867052023</v>
      </c>
    </row>
    <row r="39" spans="1:29" ht="12.45" customHeight="1">
      <c r="A39" s="121" t="s">
        <v>207</v>
      </c>
      <c r="B39" s="105">
        <v>2912000</v>
      </c>
      <c r="C39" s="9">
        <v>2159000</v>
      </c>
      <c r="D39" s="9">
        <v>434000</v>
      </c>
      <c r="E39" s="9">
        <v>318000</v>
      </c>
      <c r="F39" s="9">
        <v>57000</v>
      </c>
      <c r="G39" s="9">
        <v>27000</v>
      </c>
      <c r="H39" s="9">
        <v>19000</v>
      </c>
      <c r="I39" s="9">
        <v>11000</v>
      </c>
      <c r="J39" s="9">
        <v>2187000</v>
      </c>
      <c r="K39" s="9">
        <v>1933000</v>
      </c>
      <c r="L39" s="9">
        <v>220000</v>
      </c>
      <c r="M39" s="9">
        <v>34000</v>
      </c>
      <c r="N39" s="9">
        <v>669000</v>
      </c>
      <c r="O39" s="9">
        <v>200000</v>
      </c>
      <c r="P39" s="9">
        <v>196000</v>
      </c>
      <c r="Q39" s="9">
        <v>273000</v>
      </c>
      <c r="R39" s="204">
        <f t="shared" si="0"/>
        <v>0.7414148351648352</v>
      </c>
      <c r="S39" s="204">
        <f t="shared" si="1"/>
        <v>0.14903846153846154</v>
      </c>
      <c r="T39" s="204">
        <f t="shared" si="2"/>
        <v>0.1092032967032967</v>
      </c>
      <c r="U39" s="204">
        <f t="shared" si="3"/>
        <v>0.47368421052631576</v>
      </c>
      <c r="V39" s="204">
        <f t="shared" si="4"/>
        <v>0.40740740740740738</v>
      </c>
      <c r="W39" s="204">
        <f t="shared" si="5"/>
        <v>0.19298245614035087</v>
      </c>
      <c r="X39" s="204">
        <f t="shared" si="6"/>
        <v>0.88385916780978513</v>
      </c>
      <c r="Y39" s="204">
        <f t="shared" si="7"/>
        <v>0.1005944215820759</v>
      </c>
      <c r="Z39" s="204">
        <f t="shared" si="8"/>
        <v>1.5546410608139003E-2</v>
      </c>
      <c r="AA39" s="204">
        <f t="shared" si="9"/>
        <v>0.29895366218236175</v>
      </c>
      <c r="AB39" s="204">
        <f t="shared" si="10"/>
        <v>0.29297458893871448</v>
      </c>
      <c r="AC39" s="204">
        <f t="shared" si="11"/>
        <v>1.365</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row r="44" spans="1:29">
      <c r="R44" s="204"/>
      <c r="S44" s="204"/>
      <c r="T44" s="204"/>
      <c r="U44" s="204"/>
      <c r="V44" s="204"/>
      <c r="W44" s="204"/>
      <c r="X44" s="204"/>
      <c r="Y44" s="204"/>
      <c r="Z44" s="204"/>
      <c r="AA44" s="204"/>
      <c r="AB44" s="204"/>
      <c r="AC44" s="204"/>
    </row>
    <row r="45" spans="1:29">
      <c r="R45" s="204"/>
      <c r="S45" s="204"/>
      <c r="T45" s="204"/>
      <c r="U45" s="204"/>
      <c r="V45" s="204"/>
      <c r="W45" s="204"/>
      <c r="X45" s="204"/>
      <c r="Y45" s="204"/>
      <c r="Z45" s="204"/>
      <c r="AA45" s="204"/>
      <c r="AB45" s="204"/>
      <c r="AC45" s="204"/>
    </row>
    <row r="46" spans="1:29">
      <c r="R46" s="204"/>
      <c r="S46" s="204"/>
      <c r="T46" s="204"/>
      <c r="U46" s="204"/>
      <c r="V46" s="204"/>
      <c r="W46" s="204"/>
      <c r="X46" s="204"/>
      <c r="Y46" s="204"/>
      <c r="Z46" s="204"/>
      <c r="AA46" s="204"/>
      <c r="AB46" s="204"/>
      <c r="AC46" s="204"/>
    </row>
    <row r="47" spans="1:29">
      <c r="R47" s="204"/>
      <c r="S47" s="204"/>
      <c r="T47" s="204"/>
      <c r="U47" s="204"/>
      <c r="V47" s="204"/>
      <c r="W47" s="204"/>
      <c r="X47" s="204"/>
      <c r="Y47" s="204"/>
      <c r="Z47" s="204"/>
      <c r="AA47" s="204"/>
      <c r="AB47" s="204"/>
      <c r="AC47" s="204"/>
    </row>
    <row r="48" spans="1:29">
      <c r="R48" s="204"/>
      <c r="S48" s="204"/>
      <c r="T48" s="204"/>
      <c r="U48" s="204"/>
      <c r="V48" s="204"/>
      <c r="W48" s="204"/>
      <c r="X48" s="204"/>
      <c r="Y48" s="204"/>
      <c r="Z48" s="204"/>
      <c r="AA48" s="204"/>
      <c r="AB48" s="204"/>
      <c r="AC48" s="204"/>
    </row>
    <row r="49" spans="18:29">
      <c r="R49" s="204"/>
      <c r="S49" s="204"/>
      <c r="T49" s="204"/>
      <c r="U49" s="204"/>
      <c r="V49" s="204"/>
      <c r="W49" s="204"/>
      <c r="X49" s="204"/>
      <c r="Y49" s="204"/>
      <c r="Z49" s="204"/>
      <c r="AA49" s="204"/>
      <c r="AB49" s="204"/>
      <c r="AC49" s="204"/>
    </row>
    <row r="50" spans="18:29">
      <c r="R50" s="204"/>
      <c r="S50" s="204"/>
      <c r="T50" s="204"/>
      <c r="U50" s="204"/>
      <c r="V50" s="204"/>
      <c r="W50" s="204"/>
      <c r="X50" s="204"/>
      <c r="Y50" s="204"/>
      <c r="Z50" s="204"/>
      <c r="AA50" s="204"/>
      <c r="AB50" s="204"/>
      <c r="AC50" s="204"/>
    </row>
  </sheetData>
  <mergeCells count="18">
    <mergeCell ref="A1:R1"/>
    <mergeCell ref="A3:A4"/>
    <mergeCell ref="B3:E3"/>
    <mergeCell ref="F3:I3"/>
    <mergeCell ref="J3:M3"/>
    <mergeCell ref="N3:Q3"/>
    <mergeCell ref="R3:R4"/>
    <mergeCell ref="S3:S4"/>
    <mergeCell ref="T3:T4"/>
    <mergeCell ref="U3:U4"/>
    <mergeCell ref="V3:V4"/>
    <mergeCell ref="W3:W4"/>
    <mergeCell ref="AC3:AC4"/>
    <mergeCell ref="X3:X4"/>
    <mergeCell ref="Y3:Y4"/>
    <mergeCell ref="Z3:Z4"/>
    <mergeCell ref="AA3:AA4"/>
    <mergeCell ref="AB3:AB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4"/>
  <sheetViews>
    <sheetView topLeftCell="V15"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1" ht="39" customHeight="1">
      <c r="A1" s="321" t="s">
        <v>234</v>
      </c>
      <c r="B1" s="321"/>
      <c r="C1" s="321"/>
      <c r="D1" s="321"/>
      <c r="E1" s="321"/>
      <c r="F1" s="321"/>
      <c r="G1" s="321"/>
      <c r="H1" s="321"/>
      <c r="I1" s="321"/>
      <c r="J1" s="321"/>
      <c r="K1" s="321"/>
      <c r="L1" s="321"/>
      <c r="M1" s="321"/>
      <c r="N1" s="321"/>
      <c r="O1" s="321"/>
      <c r="P1" s="321"/>
      <c r="Q1" s="321"/>
      <c r="R1" s="321"/>
    </row>
    <row r="2" spans="1:31" ht="1.95" customHeight="1"/>
    <row r="3" spans="1:31" ht="13.95" customHeight="1">
      <c r="A3" s="339" t="s">
        <v>166</v>
      </c>
      <c r="B3" s="330" t="s">
        <v>235</v>
      </c>
      <c r="C3" s="331"/>
      <c r="D3" s="331"/>
      <c r="E3" s="332"/>
      <c r="F3" s="330" t="s">
        <v>174</v>
      </c>
      <c r="G3" s="331"/>
      <c r="H3" s="331"/>
      <c r="I3" s="332"/>
      <c r="J3" s="330" t="s">
        <v>175</v>
      </c>
      <c r="K3" s="331"/>
      <c r="L3" s="331"/>
      <c r="M3" s="332"/>
      <c r="N3" s="330" t="s">
        <v>176</v>
      </c>
      <c r="O3" s="331"/>
      <c r="P3" s="331"/>
      <c r="Q3" s="332"/>
      <c r="R3" s="342" t="s">
        <v>236</v>
      </c>
      <c r="S3" s="342" t="s">
        <v>237</v>
      </c>
      <c r="T3" s="342" t="s">
        <v>238</v>
      </c>
      <c r="U3" s="342" t="s">
        <v>239</v>
      </c>
      <c r="V3" s="342" t="s">
        <v>240</v>
      </c>
      <c r="W3" s="342" t="s">
        <v>241</v>
      </c>
      <c r="X3" s="342" t="s">
        <v>242</v>
      </c>
      <c r="Y3" s="342" t="s">
        <v>243</v>
      </c>
      <c r="Z3" s="342" t="s">
        <v>244</v>
      </c>
      <c r="AA3" s="342" t="s">
        <v>245</v>
      </c>
      <c r="AB3" s="342" t="s">
        <v>246</v>
      </c>
      <c r="AC3" s="342" t="s">
        <v>247</v>
      </c>
      <c r="AD3" s="205"/>
      <c r="AE3" s="205"/>
    </row>
    <row r="4" spans="1:31"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row>
    <row r="5" spans="1:31" ht="12.45" customHeight="1">
      <c r="A5" s="121" t="s">
        <v>208</v>
      </c>
      <c r="B5" s="107">
        <v>171000</v>
      </c>
      <c r="C5" s="7">
        <v>108000</v>
      </c>
      <c r="D5" s="7">
        <v>30000</v>
      </c>
      <c r="E5" s="7">
        <v>33000</v>
      </c>
      <c r="F5" s="19" t="s">
        <v>191</v>
      </c>
      <c r="G5" s="19" t="s">
        <v>191</v>
      </c>
      <c r="H5" s="19" t="s">
        <v>191</v>
      </c>
      <c r="I5" s="19" t="s">
        <v>220</v>
      </c>
      <c r="J5" s="7">
        <v>90000</v>
      </c>
      <c r="K5" s="7">
        <v>83000</v>
      </c>
      <c r="L5" s="19" t="s">
        <v>191</v>
      </c>
      <c r="M5" s="19" t="s">
        <v>191</v>
      </c>
      <c r="N5" s="7">
        <v>70000</v>
      </c>
      <c r="O5" s="7">
        <v>22000</v>
      </c>
      <c r="P5" s="7">
        <v>17000</v>
      </c>
      <c r="Q5" s="7">
        <v>31000</v>
      </c>
      <c r="R5" s="204">
        <f t="shared" ref="R5:T7" si="0">C5/$B5</f>
        <v>0.63157894736842102</v>
      </c>
      <c r="S5" s="204">
        <f t="shared" si="0"/>
        <v>0.17543859649122806</v>
      </c>
      <c r="T5" s="204">
        <f t="shared" si="0"/>
        <v>0.19298245614035087</v>
      </c>
      <c r="U5" s="204" t="e">
        <f>G5/$F5</f>
        <v>#VALUE!</v>
      </c>
      <c r="V5" s="204" t="e">
        <f t="shared" ref="V5:W7" si="1">H5/$F5</f>
        <v>#VALUE!</v>
      </c>
      <c r="W5" s="204" t="e">
        <f t="shared" si="1"/>
        <v>#VALUE!</v>
      </c>
      <c r="X5" s="204">
        <f>K5/$J5</f>
        <v>0.92222222222222228</v>
      </c>
      <c r="Y5" s="204" t="e">
        <f t="shared" ref="Y5:Z7" si="2">L5/$J5</f>
        <v>#VALUE!</v>
      </c>
      <c r="Z5" s="204" t="e">
        <f t="shared" si="2"/>
        <v>#VALUE!</v>
      </c>
      <c r="AA5" s="204">
        <f>O5/$N5</f>
        <v>0.31428571428571428</v>
      </c>
      <c r="AB5" s="204">
        <f t="shared" ref="AB5:AC7" si="3">P5/$N5</f>
        <v>0.24285714285714285</v>
      </c>
      <c r="AC5" s="204">
        <f t="shared" si="3"/>
        <v>0.44285714285714284</v>
      </c>
    </row>
    <row r="6" spans="1:31" ht="12.45" customHeight="1">
      <c r="A6" s="121" t="s">
        <v>209</v>
      </c>
      <c r="B6" s="105">
        <v>393000</v>
      </c>
      <c r="C6" s="9">
        <v>186000</v>
      </c>
      <c r="D6" s="9">
        <v>122000</v>
      </c>
      <c r="E6" s="9">
        <v>84000</v>
      </c>
      <c r="F6" s="9">
        <v>117000</v>
      </c>
      <c r="G6" s="9">
        <v>79000</v>
      </c>
      <c r="H6" s="9">
        <v>31000</v>
      </c>
      <c r="I6" s="9">
        <v>7000</v>
      </c>
      <c r="J6" s="9">
        <v>77000</v>
      </c>
      <c r="K6" s="9">
        <v>40000</v>
      </c>
      <c r="L6" s="9">
        <v>27000</v>
      </c>
      <c r="M6" s="13" t="s">
        <v>191</v>
      </c>
      <c r="N6" s="9">
        <v>198000</v>
      </c>
      <c r="O6" s="9">
        <v>67000</v>
      </c>
      <c r="P6" s="9">
        <v>64000</v>
      </c>
      <c r="Q6" s="9">
        <v>67000</v>
      </c>
      <c r="R6" s="204">
        <f t="shared" si="0"/>
        <v>0.47328244274809161</v>
      </c>
      <c r="S6" s="204">
        <f t="shared" si="0"/>
        <v>0.31043256997455471</v>
      </c>
      <c r="T6" s="204">
        <f t="shared" si="0"/>
        <v>0.21374045801526717</v>
      </c>
      <c r="U6" s="204">
        <f>G6/$F6</f>
        <v>0.67521367521367526</v>
      </c>
      <c r="V6" s="204">
        <f t="shared" si="1"/>
        <v>0.26495726495726496</v>
      </c>
      <c r="W6" s="204">
        <f t="shared" si="1"/>
        <v>5.9829059829059832E-2</v>
      </c>
      <c r="X6" s="204">
        <f t="shared" ref="X6:X8" si="4">K6/$J6</f>
        <v>0.51948051948051943</v>
      </c>
      <c r="Y6" s="204">
        <f t="shared" si="2"/>
        <v>0.35064935064935066</v>
      </c>
      <c r="Z6" s="204" t="e">
        <f t="shared" si="2"/>
        <v>#VALUE!</v>
      </c>
      <c r="AA6" s="204">
        <f t="shared" ref="AA6:AA8" si="5">O6/$N6</f>
        <v>0.3383838383838384</v>
      </c>
      <c r="AB6" s="204">
        <f t="shared" si="3"/>
        <v>0.32323232323232326</v>
      </c>
      <c r="AC6" s="204">
        <f t="shared" si="3"/>
        <v>0.3383838383838384</v>
      </c>
    </row>
    <row r="7" spans="1:31" ht="12.45" customHeight="1">
      <c r="A7" s="121" t="s">
        <v>210</v>
      </c>
      <c r="B7" s="105">
        <v>344000</v>
      </c>
      <c r="C7" s="9">
        <v>198000</v>
      </c>
      <c r="D7" s="9">
        <v>82000</v>
      </c>
      <c r="E7" s="9">
        <v>64000</v>
      </c>
      <c r="F7" s="9">
        <v>18000</v>
      </c>
      <c r="G7" s="9">
        <v>12000</v>
      </c>
      <c r="H7" s="9">
        <v>4000</v>
      </c>
      <c r="I7" s="9">
        <v>2000</v>
      </c>
      <c r="J7" s="9">
        <v>141000</v>
      </c>
      <c r="K7" s="9">
        <v>129000</v>
      </c>
      <c r="L7" s="9">
        <v>11000</v>
      </c>
      <c r="M7" s="13" t="s">
        <v>220</v>
      </c>
      <c r="N7" s="9">
        <v>186000</v>
      </c>
      <c r="O7" s="9">
        <v>57000</v>
      </c>
      <c r="P7" s="9">
        <v>67000</v>
      </c>
      <c r="Q7" s="9">
        <v>62000</v>
      </c>
      <c r="R7" s="204">
        <f t="shared" si="0"/>
        <v>0.57558139534883723</v>
      </c>
      <c r="S7" s="204">
        <f t="shared" si="0"/>
        <v>0.23837209302325582</v>
      </c>
      <c r="T7" s="204">
        <f t="shared" si="0"/>
        <v>0.18604651162790697</v>
      </c>
      <c r="U7" s="204">
        <f>G7/$F7</f>
        <v>0.66666666666666663</v>
      </c>
      <c r="V7" s="204">
        <f t="shared" si="1"/>
        <v>0.22222222222222221</v>
      </c>
      <c r="W7" s="204">
        <f t="shared" si="1"/>
        <v>0.1111111111111111</v>
      </c>
      <c r="X7" s="204">
        <f t="shared" si="4"/>
        <v>0.91489361702127658</v>
      </c>
      <c r="Y7" s="204">
        <f t="shared" si="2"/>
        <v>7.8014184397163122E-2</v>
      </c>
      <c r="Z7" s="204" t="e">
        <f t="shared" si="2"/>
        <v>#VALUE!</v>
      </c>
      <c r="AA7" s="204">
        <f t="shared" si="5"/>
        <v>0.30645161290322581</v>
      </c>
      <c r="AB7" s="204">
        <f t="shared" si="3"/>
        <v>0.36021505376344087</v>
      </c>
      <c r="AC7" s="204">
        <f t="shared" si="3"/>
        <v>0.33333333333333331</v>
      </c>
    </row>
    <row r="8" spans="1:31" ht="12.45" customHeight="1">
      <c r="A8" s="120" t="s">
        <v>211</v>
      </c>
      <c r="B8" s="105">
        <v>16491000</v>
      </c>
      <c r="C8" s="9">
        <v>6543000</v>
      </c>
      <c r="D8" s="9">
        <v>5344000</v>
      </c>
      <c r="E8" s="9">
        <v>4604000</v>
      </c>
      <c r="F8" s="9">
        <v>736000</v>
      </c>
      <c r="G8" s="9">
        <v>216000</v>
      </c>
      <c r="H8" s="9">
        <v>247000</v>
      </c>
      <c r="I8" s="9">
        <v>273000</v>
      </c>
      <c r="J8" s="9">
        <v>845000</v>
      </c>
      <c r="K8" s="9">
        <v>294000</v>
      </c>
      <c r="L8" s="9">
        <v>202000</v>
      </c>
      <c r="M8" s="9">
        <v>349000</v>
      </c>
      <c r="N8" s="9">
        <v>14909000</v>
      </c>
      <c r="O8" s="9">
        <v>6032000</v>
      </c>
      <c r="P8" s="9">
        <v>4896000</v>
      </c>
      <c r="Q8" s="9">
        <v>3981000</v>
      </c>
      <c r="R8" s="204">
        <f t="shared" ref="R8:R39" si="6">C8/$B8</f>
        <v>0.39676187011096964</v>
      </c>
      <c r="S8" s="204">
        <f t="shared" ref="S8:S39" si="7">D8/$B8</f>
        <v>0.32405554544903281</v>
      </c>
      <c r="T8" s="204">
        <f t="shared" ref="T8:T39" si="8">E8/$B8</f>
        <v>0.27918258443999755</v>
      </c>
      <c r="U8" s="204">
        <f t="shared" ref="U8:U39" si="9">G8/$F8</f>
        <v>0.29347826086956524</v>
      </c>
      <c r="V8" s="204">
        <f t="shared" ref="V8:V39" si="10">H8/$F8</f>
        <v>0.33559782608695654</v>
      </c>
      <c r="W8" s="204">
        <f t="shared" ref="W8:W39" si="11">I8/$F8</f>
        <v>0.37092391304347827</v>
      </c>
      <c r="X8" s="204">
        <f t="shared" si="4"/>
        <v>0.34792899408284023</v>
      </c>
      <c r="Y8" s="204">
        <f t="shared" ref="Y8:Y39" si="12">L8/$J8</f>
        <v>0.23905325443786982</v>
      </c>
      <c r="Z8" s="204">
        <f t="shared" ref="Z8:Z39" si="13">M8/$J8</f>
        <v>0.41301775147928993</v>
      </c>
      <c r="AA8" s="204">
        <f t="shared" si="5"/>
        <v>0.40458783285263933</v>
      </c>
      <c r="AB8" s="204">
        <f t="shared" ref="AB8:AB39" si="14">P8/$N8</f>
        <v>0.32839224629418473</v>
      </c>
      <c r="AC8" s="204">
        <f t="shared" ref="AC8:AC39" si="15">Q8/$N8</f>
        <v>0.26701992085317594</v>
      </c>
    </row>
    <row r="9" spans="1:31" ht="12.45" customHeight="1">
      <c r="A9" s="121" t="s">
        <v>212</v>
      </c>
      <c r="B9" s="105">
        <v>6113000</v>
      </c>
      <c r="C9" s="9">
        <v>2576000</v>
      </c>
      <c r="D9" s="9">
        <v>2340000</v>
      </c>
      <c r="E9" s="9">
        <v>1197000</v>
      </c>
      <c r="F9" s="9">
        <v>292000</v>
      </c>
      <c r="G9" s="9">
        <v>109000</v>
      </c>
      <c r="H9" s="9">
        <v>128000</v>
      </c>
      <c r="I9" s="9">
        <v>55000</v>
      </c>
      <c r="J9" s="9">
        <v>263000</v>
      </c>
      <c r="K9" s="9">
        <v>75000</v>
      </c>
      <c r="L9" s="9">
        <v>86000</v>
      </c>
      <c r="M9" s="9">
        <v>102000</v>
      </c>
      <c r="N9" s="9">
        <v>5558000</v>
      </c>
      <c r="O9" s="9">
        <v>2392000</v>
      </c>
      <c r="P9" s="9">
        <v>2126000</v>
      </c>
      <c r="Q9" s="9">
        <v>1039000</v>
      </c>
      <c r="R9" s="204">
        <f t="shared" si="6"/>
        <v>0.42139702273842633</v>
      </c>
      <c r="S9" s="204">
        <f t="shared" si="7"/>
        <v>0.38279077376083753</v>
      </c>
      <c r="T9" s="204">
        <f t="shared" si="8"/>
        <v>0.19581220350073614</v>
      </c>
      <c r="U9" s="204">
        <f t="shared" si="9"/>
        <v>0.37328767123287671</v>
      </c>
      <c r="V9" s="204">
        <f t="shared" si="10"/>
        <v>0.43835616438356162</v>
      </c>
      <c r="W9" s="204">
        <f t="shared" si="11"/>
        <v>0.18835616438356165</v>
      </c>
      <c r="X9" s="204">
        <f t="shared" ref="X9:X39" si="16">K9/$J9</f>
        <v>0.28517110266159695</v>
      </c>
      <c r="Y9" s="204">
        <f t="shared" si="12"/>
        <v>0.3269961977186312</v>
      </c>
      <c r="Z9" s="204">
        <f t="shared" si="13"/>
        <v>0.38783269961977185</v>
      </c>
      <c r="AA9" s="204">
        <f t="shared" ref="AA9:AA39" si="17">O9/$N9</f>
        <v>0.4303706369197553</v>
      </c>
      <c r="AB9" s="204">
        <f t="shared" si="14"/>
        <v>0.38251169485426412</v>
      </c>
      <c r="AC9" s="204">
        <f t="shared" si="15"/>
        <v>0.18693774739114791</v>
      </c>
    </row>
    <row r="10" spans="1:31" ht="12.45" customHeight="1">
      <c r="A10" s="121" t="s">
        <v>213</v>
      </c>
      <c r="B10" s="105">
        <v>1960000</v>
      </c>
      <c r="C10" s="9">
        <v>1164000</v>
      </c>
      <c r="D10" s="9">
        <v>291000</v>
      </c>
      <c r="E10" s="9">
        <v>506000</v>
      </c>
      <c r="F10" s="9">
        <v>32000</v>
      </c>
      <c r="G10" s="9">
        <v>14000</v>
      </c>
      <c r="H10" s="9">
        <v>5000</v>
      </c>
      <c r="I10" s="9">
        <v>13000</v>
      </c>
      <c r="J10" s="9">
        <v>140000</v>
      </c>
      <c r="K10" s="9">
        <v>64000</v>
      </c>
      <c r="L10" s="9">
        <v>32000</v>
      </c>
      <c r="M10" s="9">
        <v>44000</v>
      </c>
      <c r="N10" s="9">
        <v>1788000</v>
      </c>
      <c r="O10" s="9">
        <v>1086000</v>
      </c>
      <c r="P10" s="9">
        <v>253000</v>
      </c>
      <c r="Q10" s="9">
        <v>449000</v>
      </c>
      <c r="R10" s="204">
        <f t="shared" si="6"/>
        <v>0.59387755102040818</v>
      </c>
      <c r="S10" s="204">
        <f t="shared" si="7"/>
        <v>0.14846938775510204</v>
      </c>
      <c r="T10" s="204">
        <f t="shared" si="8"/>
        <v>0.25816326530612244</v>
      </c>
      <c r="U10" s="204">
        <f t="shared" si="9"/>
        <v>0.4375</v>
      </c>
      <c r="V10" s="204">
        <f t="shared" si="10"/>
        <v>0.15625</v>
      </c>
      <c r="W10" s="204">
        <f t="shared" si="11"/>
        <v>0.40625</v>
      </c>
      <c r="X10" s="204">
        <f t="shared" si="16"/>
        <v>0.45714285714285713</v>
      </c>
      <c r="Y10" s="204">
        <f t="shared" si="12"/>
        <v>0.22857142857142856</v>
      </c>
      <c r="Z10" s="204">
        <f t="shared" si="13"/>
        <v>0.31428571428571428</v>
      </c>
      <c r="AA10" s="204">
        <f t="shared" si="17"/>
        <v>0.60738255033557043</v>
      </c>
      <c r="AB10" s="204">
        <f t="shared" si="14"/>
        <v>0.14149888143176734</v>
      </c>
      <c r="AC10" s="204">
        <f t="shared" si="15"/>
        <v>0.25111856823266221</v>
      </c>
    </row>
    <row r="11" spans="1:31" ht="12.45" customHeight="1">
      <c r="A11" s="121" t="s">
        <v>214</v>
      </c>
      <c r="B11" s="105">
        <v>542000</v>
      </c>
      <c r="C11" s="9">
        <v>220000</v>
      </c>
      <c r="D11" s="9">
        <v>112000</v>
      </c>
      <c r="E11" s="9">
        <v>211000</v>
      </c>
      <c r="F11" s="9">
        <v>26000</v>
      </c>
      <c r="G11" s="9">
        <v>8000</v>
      </c>
      <c r="H11" s="13" t="s">
        <v>220</v>
      </c>
      <c r="I11" s="9">
        <v>15000</v>
      </c>
      <c r="J11" s="9">
        <v>18000</v>
      </c>
      <c r="K11" s="13" t="s">
        <v>191</v>
      </c>
      <c r="L11" s="13" t="s">
        <v>191</v>
      </c>
      <c r="M11" s="9">
        <v>11000</v>
      </c>
      <c r="N11" s="9">
        <v>498000</v>
      </c>
      <c r="O11" s="9">
        <v>207000</v>
      </c>
      <c r="P11" s="9">
        <v>106000</v>
      </c>
      <c r="Q11" s="9">
        <v>185000</v>
      </c>
      <c r="R11" s="204">
        <f t="shared" si="6"/>
        <v>0.4059040590405904</v>
      </c>
      <c r="S11" s="204">
        <f t="shared" si="7"/>
        <v>0.20664206642066421</v>
      </c>
      <c r="T11" s="204">
        <f t="shared" si="8"/>
        <v>0.38929889298892989</v>
      </c>
      <c r="U11" s="204">
        <f t="shared" si="9"/>
        <v>0.30769230769230771</v>
      </c>
      <c r="V11" s="204" t="e">
        <f t="shared" si="10"/>
        <v>#VALUE!</v>
      </c>
      <c r="W11" s="204">
        <f t="shared" si="11"/>
        <v>0.57692307692307687</v>
      </c>
      <c r="X11" s="204" t="e">
        <f t="shared" si="16"/>
        <v>#VALUE!</v>
      </c>
      <c r="Y11" s="204" t="e">
        <f t="shared" si="12"/>
        <v>#VALUE!</v>
      </c>
      <c r="Z11" s="204">
        <f t="shared" si="13"/>
        <v>0.61111111111111116</v>
      </c>
      <c r="AA11" s="204">
        <f t="shared" si="17"/>
        <v>0.41566265060240964</v>
      </c>
      <c r="AB11" s="204">
        <f t="shared" si="14"/>
        <v>0.21285140562248997</v>
      </c>
      <c r="AC11" s="204">
        <f t="shared" si="15"/>
        <v>0.37148594377510041</v>
      </c>
    </row>
    <row r="12" spans="1:31" ht="12.45" customHeight="1">
      <c r="A12" s="121" t="s">
        <v>215</v>
      </c>
      <c r="B12" s="105">
        <v>1078000</v>
      </c>
      <c r="C12" s="9">
        <v>337000</v>
      </c>
      <c r="D12" s="9">
        <v>526000</v>
      </c>
      <c r="E12" s="9">
        <v>215000</v>
      </c>
      <c r="F12" s="9">
        <v>44000</v>
      </c>
      <c r="G12" s="9">
        <v>10000</v>
      </c>
      <c r="H12" s="9">
        <v>24000</v>
      </c>
      <c r="I12" s="9">
        <v>9000</v>
      </c>
      <c r="J12" s="9">
        <v>51000</v>
      </c>
      <c r="K12" s="13" t="s">
        <v>220</v>
      </c>
      <c r="L12" s="13" t="s">
        <v>191</v>
      </c>
      <c r="M12" s="9">
        <v>40000</v>
      </c>
      <c r="N12" s="9">
        <v>982000</v>
      </c>
      <c r="O12" s="9">
        <v>324000</v>
      </c>
      <c r="P12" s="9">
        <v>494000</v>
      </c>
      <c r="Q12" s="9">
        <v>165000</v>
      </c>
      <c r="R12" s="204">
        <f t="shared" si="6"/>
        <v>0.31261595547309834</v>
      </c>
      <c r="S12" s="204">
        <f t="shared" si="7"/>
        <v>0.48794063079777367</v>
      </c>
      <c r="T12" s="204">
        <f t="shared" si="8"/>
        <v>0.19944341372912802</v>
      </c>
      <c r="U12" s="204">
        <f t="shared" si="9"/>
        <v>0.22727272727272727</v>
      </c>
      <c r="V12" s="204">
        <f t="shared" si="10"/>
        <v>0.54545454545454541</v>
      </c>
      <c r="W12" s="204">
        <f t="shared" si="11"/>
        <v>0.20454545454545456</v>
      </c>
      <c r="X12" s="204" t="e">
        <f t="shared" si="16"/>
        <v>#VALUE!</v>
      </c>
      <c r="Y12" s="204" t="e">
        <f t="shared" si="12"/>
        <v>#VALUE!</v>
      </c>
      <c r="Z12" s="204">
        <f t="shared" si="13"/>
        <v>0.78431372549019607</v>
      </c>
      <c r="AA12" s="204">
        <f t="shared" si="17"/>
        <v>0.32993890020366601</v>
      </c>
      <c r="AB12" s="204">
        <f t="shared" si="14"/>
        <v>0.5030549898167006</v>
      </c>
      <c r="AC12" s="204">
        <f t="shared" si="15"/>
        <v>0.16802443991853361</v>
      </c>
    </row>
    <row r="13" spans="1:31" ht="12.45" customHeight="1">
      <c r="A13" s="121" t="s">
        <v>216</v>
      </c>
      <c r="B13" s="105">
        <v>3626000</v>
      </c>
      <c r="C13" s="9">
        <v>1031000</v>
      </c>
      <c r="D13" s="9">
        <v>1008000</v>
      </c>
      <c r="E13" s="9">
        <v>1587000</v>
      </c>
      <c r="F13" s="9">
        <v>231000</v>
      </c>
      <c r="G13" s="9">
        <v>43000</v>
      </c>
      <c r="H13" s="9">
        <v>53000</v>
      </c>
      <c r="I13" s="9">
        <v>135000</v>
      </c>
      <c r="J13" s="9">
        <v>251000</v>
      </c>
      <c r="K13" s="9">
        <v>102000</v>
      </c>
      <c r="L13" s="9">
        <v>38000</v>
      </c>
      <c r="M13" s="9">
        <v>110000</v>
      </c>
      <c r="N13" s="9">
        <v>3145000</v>
      </c>
      <c r="O13" s="9">
        <v>886000</v>
      </c>
      <c r="P13" s="9">
        <v>917000</v>
      </c>
      <c r="Q13" s="9">
        <v>1342000</v>
      </c>
      <c r="R13" s="204">
        <f t="shared" si="6"/>
        <v>0.28433535576392721</v>
      </c>
      <c r="S13" s="204">
        <f t="shared" si="7"/>
        <v>0.27799227799227799</v>
      </c>
      <c r="T13" s="204">
        <f t="shared" si="8"/>
        <v>0.4376723662437948</v>
      </c>
      <c r="U13" s="204">
        <f t="shared" si="9"/>
        <v>0.18614718614718614</v>
      </c>
      <c r="V13" s="204">
        <f t="shared" si="10"/>
        <v>0.22943722943722944</v>
      </c>
      <c r="W13" s="204">
        <f t="shared" si="11"/>
        <v>0.58441558441558439</v>
      </c>
      <c r="X13" s="204">
        <f t="shared" si="16"/>
        <v>0.4063745019920319</v>
      </c>
      <c r="Y13" s="204">
        <f t="shared" si="12"/>
        <v>0.15139442231075698</v>
      </c>
      <c r="Z13" s="204">
        <f t="shared" si="13"/>
        <v>0.43824701195219123</v>
      </c>
      <c r="AA13" s="204">
        <f t="shared" si="17"/>
        <v>0.28171701112877584</v>
      </c>
      <c r="AB13" s="204">
        <f t="shared" si="14"/>
        <v>0.29157392686804451</v>
      </c>
      <c r="AC13" s="204">
        <f t="shared" si="15"/>
        <v>0.42670906200317965</v>
      </c>
    </row>
    <row r="14" spans="1:31" ht="12.45" customHeight="1">
      <c r="A14" s="121" t="s">
        <v>217</v>
      </c>
      <c r="B14" s="105">
        <v>3172000</v>
      </c>
      <c r="C14" s="9">
        <v>1214000</v>
      </c>
      <c r="D14" s="9">
        <v>1068000</v>
      </c>
      <c r="E14" s="9">
        <v>889000</v>
      </c>
      <c r="F14" s="9">
        <v>112000</v>
      </c>
      <c r="G14" s="9">
        <v>32000</v>
      </c>
      <c r="H14" s="9">
        <v>34000</v>
      </c>
      <c r="I14" s="9">
        <v>46000</v>
      </c>
      <c r="J14" s="9">
        <v>122000</v>
      </c>
      <c r="K14" s="9">
        <v>45000</v>
      </c>
      <c r="L14" s="9">
        <v>35000</v>
      </c>
      <c r="M14" s="9">
        <v>42000</v>
      </c>
      <c r="N14" s="9">
        <v>2938000</v>
      </c>
      <c r="O14" s="9">
        <v>1137000</v>
      </c>
      <c r="P14" s="9">
        <v>999000</v>
      </c>
      <c r="Q14" s="9">
        <v>801000</v>
      </c>
      <c r="R14" s="204">
        <f t="shared" si="6"/>
        <v>0.3827238335435057</v>
      </c>
      <c r="S14" s="204">
        <f t="shared" si="7"/>
        <v>0.33669609079445145</v>
      </c>
      <c r="T14" s="204">
        <f t="shared" si="8"/>
        <v>0.28026481715006307</v>
      </c>
      <c r="U14" s="204">
        <f t="shared" si="9"/>
        <v>0.2857142857142857</v>
      </c>
      <c r="V14" s="204">
        <f t="shared" si="10"/>
        <v>0.30357142857142855</v>
      </c>
      <c r="W14" s="204">
        <f t="shared" si="11"/>
        <v>0.4107142857142857</v>
      </c>
      <c r="X14" s="204">
        <f t="shared" si="16"/>
        <v>0.36885245901639346</v>
      </c>
      <c r="Y14" s="204">
        <f t="shared" si="12"/>
        <v>0.28688524590163933</v>
      </c>
      <c r="Z14" s="204">
        <f t="shared" si="13"/>
        <v>0.34426229508196721</v>
      </c>
      <c r="AA14" s="204">
        <f t="shared" si="17"/>
        <v>0.38699795779441798</v>
      </c>
      <c r="AB14" s="204">
        <f t="shared" si="14"/>
        <v>0.34002722940776037</v>
      </c>
      <c r="AC14" s="204">
        <f t="shared" si="15"/>
        <v>0.27263444520081687</v>
      </c>
    </row>
    <row r="15" spans="1:31" ht="12.45" customHeight="1">
      <c r="A15" s="114" t="s">
        <v>219</v>
      </c>
      <c r="B15" s="144">
        <v>14688000</v>
      </c>
      <c r="C15" s="143">
        <v>9660000</v>
      </c>
      <c r="D15" s="143">
        <v>3328000</v>
      </c>
      <c r="E15" s="143">
        <v>1700000</v>
      </c>
      <c r="F15" s="143">
        <v>2411000</v>
      </c>
      <c r="G15" s="143">
        <v>1671000</v>
      </c>
      <c r="H15" s="143">
        <v>575000</v>
      </c>
      <c r="I15" s="143">
        <v>164000</v>
      </c>
      <c r="J15" s="143">
        <v>2578000</v>
      </c>
      <c r="K15" s="143">
        <v>1972000</v>
      </c>
      <c r="L15" s="143">
        <v>437000</v>
      </c>
      <c r="M15" s="143">
        <v>169000</v>
      </c>
      <c r="N15" s="143">
        <v>9699000</v>
      </c>
      <c r="O15" s="143">
        <v>6017000</v>
      </c>
      <c r="P15" s="143">
        <v>2315000</v>
      </c>
      <c r="Q15" s="143">
        <v>1367000</v>
      </c>
      <c r="R15" s="204">
        <f t="shared" si="6"/>
        <v>0.6576797385620915</v>
      </c>
      <c r="S15" s="204">
        <f t="shared" si="7"/>
        <v>0.22657952069716775</v>
      </c>
      <c r="T15" s="204">
        <f t="shared" si="8"/>
        <v>0.11574074074074074</v>
      </c>
      <c r="U15" s="204">
        <f t="shared" si="9"/>
        <v>0.69307341352136043</v>
      </c>
      <c r="V15" s="204">
        <f t="shared" si="10"/>
        <v>0.23849025300705101</v>
      </c>
      <c r="W15" s="204">
        <f t="shared" si="11"/>
        <v>6.8021567814184988E-2</v>
      </c>
      <c r="X15" s="204">
        <f t="shared" si="16"/>
        <v>0.76493405740884401</v>
      </c>
      <c r="Y15" s="204">
        <f t="shared" si="12"/>
        <v>0.16951124903025602</v>
      </c>
      <c r="Z15" s="204">
        <f t="shared" si="13"/>
        <v>6.5554693560899921E-2</v>
      </c>
      <c r="AA15" s="204">
        <f t="shared" si="17"/>
        <v>0.62037323435405711</v>
      </c>
      <c r="AB15" s="204">
        <f t="shared" si="14"/>
        <v>0.23868440045365502</v>
      </c>
      <c r="AC15" s="204">
        <f t="shared" si="15"/>
        <v>0.14094236519228787</v>
      </c>
    </row>
    <row r="16" spans="1:31" ht="12.45" customHeight="1">
      <c r="A16" s="115" t="s">
        <v>178</v>
      </c>
      <c r="B16" s="105">
        <v>3680000</v>
      </c>
      <c r="C16" s="9">
        <v>2381000</v>
      </c>
      <c r="D16" s="9">
        <v>919000</v>
      </c>
      <c r="E16" s="9">
        <v>380000</v>
      </c>
      <c r="F16" s="9">
        <v>1671000</v>
      </c>
      <c r="G16" s="9">
        <v>1287000</v>
      </c>
      <c r="H16" s="9">
        <v>329000</v>
      </c>
      <c r="I16" s="9">
        <v>55000</v>
      </c>
      <c r="J16" s="9">
        <v>552000</v>
      </c>
      <c r="K16" s="9">
        <v>373000</v>
      </c>
      <c r="L16" s="9">
        <v>136000</v>
      </c>
      <c r="M16" s="9">
        <v>43000</v>
      </c>
      <c r="N16" s="9">
        <v>1457000</v>
      </c>
      <c r="O16" s="9">
        <v>722000</v>
      </c>
      <c r="P16" s="9">
        <v>454000</v>
      </c>
      <c r="Q16" s="9">
        <v>282000</v>
      </c>
      <c r="R16" s="204">
        <f t="shared" si="6"/>
        <v>0.64701086956521736</v>
      </c>
      <c r="S16" s="204">
        <f t="shared" si="7"/>
        <v>0.24972826086956521</v>
      </c>
      <c r="T16" s="204">
        <f t="shared" si="8"/>
        <v>0.10326086956521739</v>
      </c>
      <c r="U16" s="204">
        <f t="shared" si="9"/>
        <v>0.77019748653500897</v>
      </c>
      <c r="V16" s="204">
        <f t="shared" si="10"/>
        <v>0.19688809096349491</v>
      </c>
      <c r="W16" s="204">
        <f t="shared" si="11"/>
        <v>3.2914422501496107E-2</v>
      </c>
      <c r="X16" s="204">
        <f t="shared" si="16"/>
        <v>0.67572463768115942</v>
      </c>
      <c r="Y16" s="204">
        <f t="shared" si="12"/>
        <v>0.24637681159420291</v>
      </c>
      <c r="Z16" s="204">
        <f t="shared" si="13"/>
        <v>7.789855072463768E-2</v>
      </c>
      <c r="AA16" s="204">
        <f t="shared" si="17"/>
        <v>0.4955387783115992</v>
      </c>
      <c r="AB16" s="204">
        <f t="shared" si="14"/>
        <v>0.31159917638984214</v>
      </c>
      <c r="AC16" s="204">
        <f t="shared" si="15"/>
        <v>0.19354838709677419</v>
      </c>
    </row>
    <row r="17" spans="1:29" ht="12.45" customHeight="1">
      <c r="A17" s="116" t="s">
        <v>179</v>
      </c>
      <c r="B17" s="105">
        <v>417000</v>
      </c>
      <c r="C17" s="9">
        <v>251000</v>
      </c>
      <c r="D17" s="9">
        <v>107000</v>
      </c>
      <c r="E17" s="9">
        <v>59000</v>
      </c>
      <c r="F17" s="9">
        <v>157000</v>
      </c>
      <c r="G17" s="9">
        <v>125000</v>
      </c>
      <c r="H17" s="9">
        <v>27000</v>
      </c>
      <c r="I17" s="9">
        <v>6000</v>
      </c>
      <c r="J17" s="9">
        <v>104000</v>
      </c>
      <c r="K17" s="9">
        <v>75000</v>
      </c>
      <c r="L17" s="9">
        <v>23000</v>
      </c>
      <c r="M17" s="9">
        <v>5000</v>
      </c>
      <c r="N17" s="9">
        <v>157000</v>
      </c>
      <c r="O17" s="9">
        <v>51000</v>
      </c>
      <c r="P17" s="9">
        <v>57000</v>
      </c>
      <c r="Q17" s="9">
        <v>48000</v>
      </c>
      <c r="R17" s="204">
        <f t="shared" si="6"/>
        <v>0.60191846522781778</v>
      </c>
      <c r="S17" s="204">
        <f t="shared" si="7"/>
        <v>0.25659472422062352</v>
      </c>
      <c r="T17" s="204">
        <f t="shared" si="8"/>
        <v>0.14148681055155876</v>
      </c>
      <c r="U17" s="204">
        <f t="shared" si="9"/>
        <v>0.79617834394904463</v>
      </c>
      <c r="V17" s="204">
        <f t="shared" si="10"/>
        <v>0.17197452229299362</v>
      </c>
      <c r="W17" s="204">
        <f t="shared" si="11"/>
        <v>3.8216560509554139E-2</v>
      </c>
      <c r="X17" s="204">
        <f t="shared" si="16"/>
        <v>0.72115384615384615</v>
      </c>
      <c r="Y17" s="204">
        <f t="shared" si="12"/>
        <v>0.22115384615384615</v>
      </c>
      <c r="Z17" s="204">
        <f t="shared" si="13"/>
        <v>4.807692307692308E-2</v>
      </c>
      <c r="AA17" s="204">
        <f t="shared" si="17"/>
        <v>0.32484076433121017</v>
      </c>
      <c r="AB17" s="204">
        <f t="shared" si="14"/>
        <v>0.36305732484076431</v>
      </c>
      <c r="AC17" s="204">
        <f t="shared" si="15"/>
        <v>0.30573248407643311</v>
      </c>
    </row>
    <row r="18" spans="1:29" ht="12.45" customHeight="1">
      <c r="A18" s="117" t="s">
        <v>180</v>
      </c>
      <c r="B18" s="105">
        <v>46000</v>
      </c>
      <c r="C18" s="9">
        <v>31000</v>
      </c>
      <c r="D18" s="9">
        <v>8000</v>
      </c>
      <c r="E18" s="9">
        <v>7000</v>
      </c>
      <c r="F18" s="9">
        <v>20000</v>
      </c>
      <c r="G18" s="9">
        <v>18000</v>
      </c>
      <c r="H18" s="9">
        <v>3000</v>
      </c>
      <c r="I18" s="13" t="s">
        <v>220</v>
      </c>
      <c r="J18" s="9">
        <v>6000</v>
      </c>
      <c r="K18" s="13" t="s">
        <v>191</v>
      </c>
      <c r="L18" s="13" t="s">
        <v>191</v>
      </c>
      <c r="M18" s="13" t="s">
        <v>191</v>
      </c>
      <c r="N18" s="9">
        <v>20000</v>
      </c>
      <c r="O18" s="9">
        <v>11000</v>
      </c>
      <c r="P18" s="9">
        <v>4000</v>
      </c>
      <c r="Q18" s="9">
        <v>5000</v>
      </c>
      <c r="R18" s="204">
        <f t="shared" si="6"/>
        <v>0.67391304347826086</v>
      </c>
      <c r="S18" s="204">
        <f t="shared" si="7"/>
        <v>0.17391304347826086</v>
      </c>
      <c r="T18" s="204">
        <f t="shared" si="8"/>
        <v>0.15217391304347827</v>
      </c>
      <c r="U18" s="204">
        <f t="shared" si="9"/>
        <v>0.9</v>
      </c>
      <c r="V18" s="204">
        <f t="shared" si="10"/>
        <v>0.15</v>
      </c>
      <c r="W18" s="204" t="e">
        <f t="shared" si="11"/>
        <v>#VALUE!</v>
      </c>
      <c r="X18" s="204" t="e">
        <f t="shared" si="16"/>
        <v>#VALUE!</v>
      </c>
      <c r="Y18" s="204" t="e">
        <f t="shared" si="12"/>
        <v>#VALUE!</v>
      </c>
      <c r="Z18" s="204" t="e">
        <f t="shared" si="13"/>
        <v>#VALUE!</v>
      </c>
      <c r="AA18" s="204">
        <f t="shared" si="17"/>
        <v>0.55000000000000004</v>
      </c>
      <c r="AB18" s="204">
        <f t="shared" si="14"/>
        <v>0.2</v>
      </c>
      <c r="AC18" s="204">
        <f t="shared" si="15"/>
        <v>0.25</v>
      </c>
    </row>
    <row r="19" spans="1:29" ht="12.45" customHeight="1">
      <c r="A19" s="117" t="s">
        <v>181</v>
      </c>
      <c r="B19" s="105">
        <v>286000</v>
      </c>
      <c r="C19" s="9">
        <v>165000</v>
      </c>
      <c r="D19" s="9">
        <v>76000</v>
      </c>
      <c r="E19" s="9">
        <v>45000</v>
      </c>
      <c r="F19" s="9">
        <v>107000</v>
      </c>
      <c r="G19" s="9">
        <v>82000</v>
      </c>
      <c r="H19" s="9">
        <v>21000</v>
      </c>
      <c r="I19" s="9">
        <v>5000</v>
      </c>
      <c r="J19" s="9">
        <v>85000</v>
      </c>
      <c r="K19" s="9">
        <v>66000</v>
      </c>
      <c r="L19" s="9">
        <v>17000</v>
      </c>
      <c r="M19" s="9">
        <v>2000</v>
      </c>
      <c r="N19" s="9">
        <v>93000</v>
      </c>
      <c r="O19" s="9">
        <v>17000</v>
      </c>
      <c r="P19" s="9">
        <v>39000</v>
      </c>
      <c r="Q19" s="9">
        <v>38000</v>
      </c>
      <c r="R19" s="204">
        <f t="shared" si="6"/>
        <v>0.57692307692307687</v>
      </c>
      <c r="S19" s="204">
        <f t="shared" si="7"/>
        <v>0.26573426573426573</v>
      </c>
      <c r="T19" s="204">
        <f t="shared" si="8"/>
        <v>0.15734265734265734</v>
      </c>
      <c r="U19" s="204">
        <f t="shared" si="9"/>
        <v>0.76635514018691586</v>
      </c>
      <c r="V19" s="204">
        <f t="shared" si="10"/>
        <v>0.19626168224299065</v>
      </c>
      <c r="W19" s="204">
        <f t="shared" si="11"/>
        <v>4.6728971962616821E-2</v>
      </c>
      <c r="X19" s="204">
        <f t="shared" si="16"/>
        <v>0.77647058823529413</v>
      </c>
      <c r="Y19" s="204">
        <f t="shared" si="12"/>
        <v>0.2</v>
      </c>
      <c r="Z19" s="204">
        <f t="shared" si="13"/>
        <v>2.3529411764705882E-2</v>
      </c>
      <c r="AA19" s="204">
        <f t="shared" si="17"/>
        <v>0.18279569892473119</v>
      </c>
      <c r="AB19" s="204">
        <f t="shared" si="14"/>
        <v>0.41935483870967744</v>
      </c>
      <c r="AC19" s="204">
        <f t="shared" si="15"/>
        <v>0.40860215053763443</v>
      </c>
    </row>
    <row r="20" spans="1:29" ht="12.45" customHeight="1">
      <c r="A20" s="117" t="s">
        <v>182</v>
      </c>
      <c r="B20" s="105">
        <v>86000</v>
      </c>
      <c r="C20" s="9">
        <v>55000</v>
      </c>
      <c r="D20" s="9">
        <v>23000</v>
      </c>
      <c r="E20" s="9">
        <v>8000</v>
      </c>
      <c r="F20" s="9">
        <v>29000</v>
      </c>
      <c r="G20" s="9">
        <v>25000</v>
      </c>
      <c r="H20" s="9">
        <v>3000</v>
      </c>
      <c r="I20" s="13" t="s">
        <v>220</v>
      </c>
      <c r="J20" s="9">
        <v>13000</v>
      </c>
      <c r="K20" s="9">
        <v>7000</v>
      </c>
      <c r="L20" s="13" t="s">
        <v>191</v>
      </c>
      <c r="M20" s="13" t="s">
        <v>220</v>
      </c>
      <c r="N20" s="9">
        <v>43000</v>
      </c>
      <c r="O20" s="9">
        <v>23000</v>
      </c>
      <c r="P20" s="9">
        <v>14000</v>
      </c>
      <c r="Q20" s="9">
        <v>6000</v>
      </c>
      <c r="R20" s="204">
        <f t="shared" si="6"/>
        <v>0.63953488372093026</v>
      </c>
      <c r="S20" s="204">
        <f t="shared" si="7"/>
        <v>0.26744186046511625</v>
      </c>
      <c r="T20" s="204">
        <f t="shared" si="8"/>
        <v>9.3023255813953487E-2</v>
      </c>
      <c r="U20" s="204">
        <f t="shared" si="9"/>
        <v>0.86206896551724133</v>
      </c>
      <c r="V20" s="204">
        <f t="shared" si="10"/>
        <v>0.10344827586206896</v>
      </c>
      <c r="W20" s="204" t="e">
        <f t="shared" si="11"/>
        <v>#VALUE!</v>
      </c>
      <c r="X20" s="204">
        <f t="shared" si="16"/>
        <v>0.53846153846153844</v>
      </c>
      <c r="Y20" s="204" t="e">
        <f t="shared" si="12"/>
        <v>#VALUE!</v>
      </c>
      <c r="Z20" s="204" t="e">
        <f t="shared" si="13"/>
        <v>#VALUE!</v>
      </c>
      <c r="AA20" s="204">
        <f t="shared" si="17"/>
        <v>0.53488372093023251</v>
      </c>
      <c r="AB20" s="204">
        <f t="shared" si="14"/>
        <v>0.32558139534883723</v>
      </c>
      <c r="AC20" s="204">
        <f t="shared" si="15"/>
        <v>0.13953488372093023</v>
      </c>
    </row>
    <row r="21" spans="1:29" ht="12.45" customHeight="1">
      <c r="A21" s="116" t="s">
        <v>183</v>
      </c>
      <c r="B21" s="105">
        <v>888000</v>
      </c>
      <c r="C21" s="9">
        <v>644000</v>
      </c>
      <c r="D21" s="9">
        <v>184000</v>
      </c>
      <c r="E21" s="9">
        <v>60000</v>
      </c>
      <c r="F21" s="9">
        <v>560000</v>
      </c>
      <c r="G21" s="9">
        <v>451000</v>
      </c>
      <c r="H21" s="9">
        <v>99000</v>
      </c>
      <c r="I21" s="9">
        <v>10000</v>
      </c>
      <c r="J21" s="9">
        <v>132000</v>
      </c>
      <c r="K21" s="9">
        <v>85000</v>
      </c>
      <c r="L21" s="9">
        <v>31000</v>
      </c>
      <c r="M21" s="9">
        <v>16000</v>
      </c>
      <c r="N21" s="9">
        <v>195000</v>
      </c>
      <c r="O21" s="9">
        <v>107000</v>
      </c>
      <c r="P21" s="9">
        <v>53000</v>
      </c>
      <c r="Q21" s="9">
        <v>35000</v>
      </c>
      <c r="R21" s="204">
        <f t="shared" si="6"/>
        <v>0.72522522522522526</v>
      </c>
      <c r="S21" s="204">
        <f t="shared" si="7"/>
        <v>0.2072072072072072</v>
      </c>
      <c r="T21" s="204">
        <f t="shared" si="8"/>
        <v>6.7567567567567571E-2</v>
      </c>
      <c r="U21" s="204">
        <f t="shared" si="9"/>
        <v>0.80535714285714288</v>
      </c>
      <c r="V21" s="204">
        <f t="shared" si="10"/>
        <v>0.1767857142857143</v>
      </c>
      <c r="W21" s="204">
        <f t="shared" si="11"/>
        <v>1.7857142857142856E-2</v>
      </c>
      <c r="X21" s="204">
        <f t="shared" si="16"/>
        <v>0.64393939393939392</v>
      </c>
      <c r="Y21" s="204">
        <f t="shared" si="12"/>
        <v>0.23484848484848486</v>
      </c>
      <c r="Z21" s="204">
        <f t="shared" si="13"/>
        <v>0.12121212121212122</v>
      </c>
      <c r="AA21" s="204">
        <f t="shared" si="17"/>
        <v>0.54871794871794877</v>
      </c>
      <c r="AB21" s="204">
        <f t="shared" si="14"/>
        <v>0.27179487179487177</v>
      </c>
      <c r="AC21" s="204">
        <f t="shared" si="15"/>
        <v>0.17948717948717949</v>
      </c>
    </row>
    <row r="22" spans="1:29" ht="12.45" customHeight="1">
      <c r="A22" s="117" t="s">
        <v>184</v>
      </c>
      <c r="B22" s="105">
        <v>732000</v>
      </c>
      <c r="C22" s="9">
        <v>548000</v>
      </c>
      <c r="D22" s="9">
        <v>139000</v>
      </c>
      <c r="E22" s="9">
        <v>45000</v>
      </c>
      <c r="F22" s="9">
        <v>481000</v>
      </c>
      <c r="G22" s="9">
        <v>395000</v>
      </c>
      <c r="H22" s="9">
        <v>78000</v>
      </c>
      <c r="I22" s="9">
        <v>8000</v>
      </c>
      <c r="J22" s="9">
        <v>102000</v>
      </c>
      <c r="K22" s="9">
        <v>66000</v>
      </c>
      <c r="L22" s="9">
        <v>21000</v>
      </c>
      <c r="M22" s="9">
        <v>14000</v>
      </c>
      <c r="N22" s="9">
        <v>148000</v>
      </c>
      <c r="O22" s="9">
        <v>87000</v>
      </c>
      <c r="P22" s="9">
        <v>39000</v>
      </c>
      <c r="Q22" s="9">
        <v>22000</v>
      </c>
      <c r="R22" s="204">
        <f t="shared" si="6"/>
        <v>0.74863387978142082</v>
      </c>
      <c r="S22" s="204">
        <f t="shared" si="7"/>
        <v>0.18989071038251365</v>
      </c>
      <c r="T22" s="204">
        <f t="shared" si="8"/>
        <v>6.1475409836065573E-2</v>
      </c>
      <c r="U22" s="204">
        <f t="shared" si="9"/>
        <v>0.8212058212058212</v>
      </c>
      <c r="V22" s="204">
        <f t="shared" si="10"/>
        <v>0.16216216216216217</v>
      </c>
      <c r="W22" s="204">
        <f t="shared" si="11"/>
        <v>1.6632016632016633E-2</v>
      </c>
      <c r="X22" s="204">
        <f t="shared" si="16"/>
        <v>0.6470588235294118</v>
      </c>
      <c r="Y22" s="204">
        <f t="shared" si="12"/>
        <v>0.20588235294117646</v>
      </c>
      <c r="Z22" s="204">
        <f t="shared" si="13"/>
        <v>0.13725490196078433</v>
      </c>
      <c r="AA22" s="204">
        <f t="shared" si="17"/>
        <v>0.58783783783783783</v>
      </c>
      <c r="AB22" s="204">
        <f t="shared" si="14"/>
        <v>0.26351351351351349</v>
      </c>
      <c r="AC22" s="204">
        <f t="shared" si="15"/>
        <v>0.14864864864864866</v>
      </c>
    </row>
    <row r="23" spans="1:29" ht="12.45" customHeight="1">
      <c r="A23" s="117" t="s">
        <v>185</v>
      </c>
      <c r="B23" s="105">
        <v>156000</v>
      </c>
      <c r="C23" s="9">
        <v>95000</v>
      </c>
      <c r="D23" s="9">
        <v>45000</v>
      </c>
      <c r="E23" s="9">
        <v>15000</v>
      </c>
      <c r="F23" s="9">
        <v>79000</v>
      </c>
      <c r="G23" s="9">
        <v>56000</v>
      </c>
      <c r="H23" s="9">
        <v>21000</v>
      </c>
      <c r="I23" s="9">
        <v>2000</v>
      </c>
      <c r="J23" s="9">
        <v>30000</v>
      </c>
      <c r="K23" s="9">
        <v>19000</v>
      </c>
      <c r="L23" s="9">
        <v>10000</v>
      </c>
      <c r="M23" s="9">
        <v>1000</v>
      </c>
      <c r="N23" s="9">
        <v>47000</v>
      </c>
      <c r="O23" s="9">
        <v>20000</v>
      </c>
      <c r="P23" s="9">
        <v>14000</v>
      </c>
      <c r="Q23" s="9">
        <v>12000</v>
      </c>
      <c r="R23" s="204">
        <f t="shared" si="6"/>
        <v>0.60897435897435892</v>
      </c>
      <c r="S23" s="204">
        <f t="shared" si="7"/>
        <v>0.28846153846153844</v>
      </c>
      <c r="T23" s="204">
        <f t="shared" si="8"/>
        <v>9.6153846153846159E-2</v>
      </c>
      <c r="U23" s="204">
        <f t="shared" si="9"/>
        <v>0.70886075949367089</v>
      </c>
      <c r="V23" s="204">
        <f t="shared" si="10"/>
        <v>0.26582278481012656</v>
      </c>
      <c r="W23" s="204">
        <f t="shared" si="11"/>
        <v>2.5316455696202531E-2</v>
      </c>
      <c r="X23" s="204">
        <f t="shared" si="16"/>
        <v>0.6333333333333333</v>
      </c>
      <c r="Y23" s="204">
        <f t="shared" si="12"/>
        <v>0.33333333333333331</v>
      </c>
      <c r="Z23" s="204">
        <f t="shared" si="13"/>
        <v>3.3333333333333333E-2</v>
      </c>
      <c r="AA23" s="204">
        <f t="shared" si="17"/>
        <v>0.42553191489361702</v>
      </c>
      <c r="AB23" s="204">
        <f t="shared" si="14"/>
        <v>0.2978723404255319</v>
      </c>
      <c r="AC23" s="204">
        <f t="shared" si="15"/>
        <v>0.25531914893617019</v>
      </c>
    </row>
    <row r="24" spans="1:29" ht="12.45" customHeight="1">
      <c r="A24" s="116" t="s">
        <v>186</v>
      </c>
      <c r="B24" s="105">
        <v>174000</v>
      </c>
      <c r="C24" s="9">
        <v>98000</v>
      </c>
      <c r="D24" s="9">
        <v>59000</v>
      </c>
      <c r="E24" s="9">
        <v>17000</v>
      </c>
      <c r="F24" s="9">
        <v>106000</v>
      </c>
      <c r="G24" s="9">
        <v>70000</v>
      </c>
      <c r="H24" s="9">
        <v>33000</v>
      </c>
      <c r="I24" s="9">
        <v>4000</v>
      </c>
      <c r="J24" s="9">
        <v>29000</v>
      </c>
      <c r="K24" s="9">
        <v>20000</v>
      </c>
      <c r="L24" s="9">
        <v>6000</v>
      </c>
      <c r="M24" s="13" t="s">
        <v>191</v>
      </c>
      <c r="N24" s="9">
        <v>39000</v>
      </c>
      <c r="O24" s="9">
        <v>8000</v>
      </c>
      <c r="P24" s="9">
        <v>21000</v>
      </c>
      <c r="Q24" s="9">
        <v>10000</v>
      </c>
      <c r="R24" s="204">
        <f t="shared" si="6"/>
        <v>0.56321839080459768</v>
      </c>
      <c r="S24" s="204">
        <f t="shared" si="7"/>
        <v>0.33908045977011492</v>
      </c>
      <c r="T24" s="204">
        <f t="shared" si="8"/>
        <v>9.7701149425287362E-2</v>
      </c>
      <c r="U24" s="204">
        <f t="shared" si="9"/>
        <v>0.660377358490566</v>
      </c>
      <c r="V24" s="204">
        <f t="shared" si="10"/>
        <v>0.31132075471698112</v>
      </c>
      <c r="W24" s="204">
        <f t="shared" si="11"/>
        <v>3.7735849056603772E-2</v>
      </c>
      <c r="X24" s="204">
        <f t="shared" si="16"/>
        <v>0.68965517241379315</v>
      </c>
      <c r="Y24" s="204">
        <f t="shared" si="12"/>
        <v>0.20689655172413793</v>
      </c>
      <c r="Z24" s="204" t="e">
        <f t="shared" si="13"/>
        <v>#VALUE!</v>
      </c>
      <c r="AA24" s="204">
        <f t="shared" si="17"/>
        <v>0.20512820512820512</v>
      </c>
      <c r="AB24" s="204">
        <f t="shared" si="14"/>
        <v>0.53846153846153844</v>
      </c>
      <c r="AC24" s="204">
        <f t="shared" si="15"/>
        <v>0.25641025641025639</v>
      </c>
    </row>
    <row r="25" spans="1:29" ht="12.45" customHeight="1">
      <c r="A25" s="117" t="s">
        <v>187</v>
      </c>
      <c r="B25" s="105">
        <v>57000</v>
      </c>
      <c r="C25" s="9">
        <v>29000</v>
      </c>
      <c r="D25" s="9">
        <v>22000</v>
      </c>
      <c r="E25" s="9">
        <v>6000</v>
      </c>
      <c r="F25" s="9">
        <v>28000</v>
      </c>
      <c r="G25" s="9">
        <v>19000</v>
      </c>
      <c r="H25" s="9">
        <v>8000</v>
      </c>
      <c r="I25" s="13" t="s">
        <v>222</v>
      </c>
      <c r="J25" s="9">
        <v>11000</v>
      </c>
      <c r="K25" s="9">
        <v>8000</v>
      </c>
      <c r="L25" s="9">
        <v>1000</v>
      </c>
      <c r="M25" s="13" t="s">
        <v>191</v>
      </c>
      <c r="N25" s="9">
        <v>19000</v>
      </c>
      <c r="O25" s="9">
        <v>2000</v>
      </c>
      <c r="P25" s="9">
        <v>13000</v>
      </c>
      <c r="Q25" s="9">
        <v>4000</v>
      </c>
      <c r="R25" s="204">
        <f t="shared" si="6"/>
        <v>0.50877192982456143</v>
      </c>
      <c r="S25" s="204">
        <f t="shared" si="7"/>
        <v>0.38596491228070173</v>
      </c>
      <c r="T25" s="204">
        <f t="shared" si="8"/>
        <v>0.10526315789473684</v>
      </c>
      <c r="U25" s="204">
        <f t="shared" si="9"/>
        <v>0.6785714285714286</v>
      </c>
      <c r="V25" s="204">
        <f t="shared" si="10"/>
        <v>0.2857142857142857</v>
      </c>
      <c r="W25" s="204" t="e">
        <f t="shared" si="11"/>
        <v>#VALUE!</v>
      </c>
      <c r="X25" s="204">
        <f t="shared" si="16"/>
        <v>0.72727272727272729</v>
      </c>
      <c r="Y25" s="204">
        <f t="shared" si="12"/>
        <v>9.0909090909090912E-2</v>
      </c>
      <c r="Z25" s="204" t="e">
        <f t="shared" si="13"/>
        <v>#VALUE!</v>
      </c>
      <c r="AA25" s="204">
        <f t="shared" si="17"/>
        <v>0.10526315789473684</v>
      </c>
      <c r="AB25" s="204">
        <f t="shared" si="14"/>
        <v>0.68421052631578949</v>
      </c>
      <c r="AC25" s="204">
        <f t="shared" si="15"/>
        <v>0.21052631578947367</v>
      </c>
    </row>
    <row r="26" spans="1:29" ht="12.45" customHeight="1">
      <c r="A26" s="117" t="s">
        <v>188</v>
      </c>
      <c r="B26" s="105">
        <v>59000</v>
      </c>
      <c r="C26" s="9">
        <v>36000</v>
      </c>
      <c r="D26" s="9">
        <v>16000</v>
      </c>
      <c r="E26" s="9">
        <v>6000</v>
      </c>
      <c r="F26" s="9">
        <v>39000</v>
      </c>
      <c r="G26" s="9">
        <v>27000</v>
      </c>
      <c r="H26" s="9">
        <v>10000</v>
      </c>
      <c r="I26" s="13" t="s">
        <v>191</v>
      </c>
      <c r="J26" s="9">
        <v>6000</v>
      </c>
      <c r="K26" s="9">
        <v>5000</v>
      </c>
      <c r="L26" s="13" t="s">
        <v>191</v>
      </c>
      <c r="M26" s="13" t="s">
        <v>220</v>
      </c>
      <c r="N26" s="9">
        <v>14000</v>
      </c>
      <c r="O26" s="9">
        <v>4000</v>
      </c>
      <c r="P26" s="9">
        <v>5000</v>
      </c>
      <c r="Q26" s="9">
        <v>5000</v>
      </c>
      <c r="R26" s="204">
        <f t="shared" si="6"/>
        <v>0.61016949152542377</v>
      </c>
      <c r="S26" s="204">
        <f t="shared" si="7"/>
        <v>0.2711864406779661</v>
      </c>
      <c r="T26" s="204">
        <f t="shared" si="8"/>
        <v>0.10169491525423729</v>
      </c>
      <c r="U26" s="204">
        <f t="shared" si="9"/>
        <v>0.69230769230769229</v>
      </c>
      <c r="V26" s="204">
        <f t="shared" si="10"/>
        <v>0.25641025641025639</v>
      </c>
      <c r="W26" s="204" t="e">
        <f t="shared" si="11"/>
        <v>#VALUE!</v>
      </c>
      <c r="X26" s="204">
        <f t="shared" si="16"/>
        <v>0.83333333333333337</v>
      </c>
      <c r="Y26" s="204" t="e">
        <f t="shared" si="12"/>
        <v>#VALUE!</v>
      </c>
      <c r="Z26" s="204" t="e">
        <f t="shared" si="13"/>
        <v>#VALUE!</v>
      </c>
      <c r="AA26" s="204">
        <f t="shared" si="17"/>
        <v>0.2857142857142857</v>
      </c>
      <c r="AB26" s="204">
        <f t="shared" si="14"/>
        <v>0.35714285714285715</v>
      </c>
      <c r="AC26" s="204">
        <f t="shared" si="15"/>
        <v>0.35714285714285715</v>
      </c>
    </row>
    <row r="27" spans="1:29" ht="12.45" customHeight="1">
      <c r="A27" s="117" t="s">
        <v>189</v>
      </c>
      <c r="B27" s="105">
        <v>52000</v>
      </c>
      <c r="C27" s="9">
        <v>29000</v>
      </c>
      <c r="D27" s="9">
        <v>19000</v>
      </c>
      <c r="E27" s="9">
        <v>4000</v>
      </c>
      <c r="F27" s="9">
        <v>37000</v>
      </c>
      <c r="G27" s="9">
        <v>21000</v>
      </c>
      <c r="H27" s="9">
        <v>15000</v>
      </c>
      <c r="I27" s="13" t="s">
        <v>191</v>
      </c>
      <c r="J27" s="9">
        <v>9000</v>
      </c>
      <c r="K27" s="9">
        <v>6000</v>
      </c>
      <c r="L27" s="9">
        <v>3000</v>
      </c>
      <c r="M27" s="13" t="s">
        <v>220</v>
      </c>
      <c r="N27" s="9">
        <v>6000</v>
      </c>
      <c r="O27" s="13" t="s">
        <v>191</v>
      </c>
      <c r="P27" s="9">
        <v>2000</v>
      </c>
      <c r="Q27" s="13" t="s">
        <v>191</v>
      </c>
      <c r="R27" s="204">
        <f t="shared" si="6"/>
        <v>0.55769230769230771</v>
      </c>
      <c r="S27" s="204">
        <f t="shared" si="7"/>
        <v>0.36538461538461536</v>
      </c>
      <c r="T27" s="204">
        <f t="shared" si="8"/>
        <v>7.6923076923076927E-2</v>
      </c>
      <c r="U27" s="204">
        <f t="shared" si="9"/>
        <v>0.56756756756756754</v>
      </c>
      <c r="V27" s="204">
        <f t="shared" si="10"/>
        <v>0.40540540540540543</v>
      </c>
      <c r="W27" s="204" t="e">
        <f t="shared" si="11"/>
        <v>#VALUE!</v>
      </c>
      <c r="X27" s="204">
        <f t="shared" si="16"/>
        <v>0.66666666666666663</v>
      </c>
      <c r="Y27" s="204">
        <f t="shared" si="12"/>
        <v>0.33333333333333331</v>
      </c>
      <c r="Z27" s="204" t="e">
        <f t="shared" si="13"/>
        <v>#VALUE!</v>
      </c>
      <c r="AA27" s="204" t="e">
        <f t="shared" si="17"/>
        <v>#VALUE!</v>
      </c>
      <c r="AB27" s="204">
        <f t="shared" si="14"/>
        <v>0.33333333333333331</v>
      </c>
      <c r="AC27" s="204" t="e">
        <f t="shared" si="15"/>
        <v>#VALUE!</v>
      </c>
    </row>
    <row r="28" spans="1:29" ht="12.45" customHeight="1">
      <c r="A28" s="117" t="s">
        <v>190</v>
      </c>
      <c r="B28" s="105">
        <v>6000</v>
      </c>
      <c r="C28" s="9">
        <v>4000</v>
      </c>
      <c r="D28" s="13" t="s">
        <v>191</v>
      </c>
      <c r="E28" s="13" t="s">
        <v>220</v>
      </c>
      <c r="F28" s="13" t="s">
        <v>191</v>
      </c>
      <c r="G28" s="13" t="s">
        <v>191</v>
      </c>
      <c r="H28" s="13" t="s">
        <v>220</v>
      </c>
      <c r="I28" s="13" t="s">
        <v>220</v>
      </c>
      <c r="J28" s="13" t="s">
        <v>191</v>
      </c>
      <c r="K28" s="9">
        <v>1000</v>
      </c>
      <c r="L28" s="13" t="s">
        <v>220</v>
      </c>
      <c r="M28" s="13" t="s">
        <v>220</v>
      </c>
      <c r="N28" s="9">
        <v>1000</v>
      </c>
      <c r="O28" s="13" t="s">
        <v>220</v>
      </c>
      <c r="P28" s="13" t="s">
        <v>220</v>
      </c>
      <c r="Q28" s="13" t="s">
        <v>220</v>
      </c>
      <c r="R28" s="204">
        <f t="shared" si="6"/>
        <v>0.66666666666666663</v>
      </c>
      <c r="S28" s="204" t="e">
        <f t="shared" si="7"/>
        <v>#VALUE!</v>
      </c>
      <c r="T28" s="204" t="e">
        <f t="shared" si="8"/>
        <v>#VALUE!</v>
      </c>
      <c r="U28" s="204" t="e">
        <f t="shared" si="9"/>
        <v>#VALUE!</v>
      </c>
      <c r="V28" s="204" t="e">
        <f t="shared" si="10"/>
        <v>#VALUE!</v>
      </c>
      <c r="W28" s="204" t="e">
        <f t="shared" si="11"/>
        <v>#VALUE!</v>
      </c>
      <c r="X28" s="204" t="e">
        <f t="shared" si="16"/>
        <v>#VALUE!</v>
      </c>
      <c r="Y28" s="204" t="e">
        <f t="shared" si="12"/>
        <v>#VALUE!</v>
      </c>
      <c r="Z28" s="204" t="e">
        <f t="shared" si="13"/>
        <v>#VALUE!</v>
      </c>
      <c r="AA28" s="204" t="e">
        <f t="shared" si="17"/>
        <v>#VALUE!</v>
      </c>
      <c r="AB28" s="204" t="e">
        <f t="shared" si="14"/>
        <v>#VALUE!</v>
      </c>
      <c r="AC28" s="204" t="e">
        <f t="shared" si="15"/>
        <v>#VALUE!</v>
      </c>
    </row>
    <row r="29" spans="1:29" ht="12.45" customHeight="1">
      <c r="A29" s="116" t="s">
        <v>192</v>
      </c>
      <c r="B29" s="105">
        <v>1171000</v>
      </c>
      <c r="C29" s="9">
        <v>693000</v>
      </c>
      <c r="D29" s="9">
        <v>295000</v>
      </c>
      <c r="E29" s="9">
        <v>183000</v>
      </c>
      <c r="F29" s="9">
        <v>212000</v>
      </c>
      <c r="G29" s="9">
        <v>158000</v>
      </c>
      <c r="H29" s="9">
        <v>32000</v>
      </c>
      <c r="I29" s="9">
        <v>23000</v>
      </c>
      <c r="J29" s="9">
        <v>109000</v>
      </c>
      <c r="K29" s="9">
        <v>68000</v>
      </c>
      <c r="L29" s="9">
        <v>28000</v>
      </c>
      <c r="M29" s="9">
        <v>14000</v>
      </c>
      <c r="N29" s="9">
        <v>850000</v>
      </c>
      <c r="O29" s="9">
        <v>467000</v>
      </c>
      <c r="P29" s="9">
        <v>236000</v>
      </c>
      <c r="Q29" s="9">
        <v>147000</v>
      </c>
      <c r="R29" s="204">
        <f t="shared" si="6"/>
        <v>0.591801878736123</v>
      </c>
      <c r="S29" s="204">
        <f t="shared" si="7"/>
        <v>0.25192143467122119</v>
      </c>
      <c r="T29" s="204">
        <f t="shared" si="8"/>
        <v>0.15627668659265584</v>
      </c>
      <c r="U29" s="204">
        <f t="shared" si="9"/>
        <v>0.74528301886792447</v>
      </c>
      <c r="V29" s="204">
        <f t="shared" si="10"/>
        <v>0.15094339622641509</v>
      </c>
      <c r="W29" s="204">
        <f t="shared" si="11"/>
        <v>0.10849056603773585</v>
      </c>
      <c r="X29" s="204">
        <f t="shared" si="16"/>
        <v>0.62385321100917435</v>
      </c>
      <c r="Y29" s="204">
        <f t="shared" si="12"/>
        <v>0.25688073394495414</v>
      </c>
      <c r="Z29" s="204">
        <f t="shared" si="13"/>
        <v>0.12844036697247707</v>
      </c>
      <c r="AA29" s="204">
        <f t="shared" si="17"/>
        <v>0.54941176470588238</v>
      </c>
      <c r="AB29" s="204">
        <f t="shared" si="14"/>
        <v>0.27764705882352941</v>
      </c>
      <c r="AC29" s="204">
        <f t="shared" si="15"/>
        <v>0.17294117647058824</v>
      </c>
    </row>
    <row r="30" spans="1:29" ht="12.45" customHeight="1">
      <c r="A30" s="117" t="s">
        <v>193</v>
      </c>
      <c r="B30" s="105">
        <v>114000</v>
      </c>
      <c r="C30" s="9">
        <v>57000</v>
      </c>
      <c r="D30" s="9">
        <v>41000</v>
      </c>
      <c r="E30" s="9">
        <v>15000</v>
      </c>
      <c r="F30" s="9">
        <v>30000</v>
      </c>
      <c r="G30" s="9">
        <v>22000</v>
      </c>
      <c r="H30" s="9">
        <v>5000</v>
      </c>
      <c r="I30" s="9">
        <v>3000</v>
      </c>
      <c r="J30" s="9">
        <v>2000</v>
      </c>
      <c r="K30" s="13" t="s">
        <v>191</v>
      </c>
      <c r="L30" s="9">
        <v>1000</v>
      </c>
      <c r="M30" s="13" t="s">
        <v>220</v>
      </c>
      <c r="N30" s="9">
        <v>81000</v>
      </c>
      <c r="O30" s="9">
        <v>34000</v>
      </c>
      <c r="P30" s="9">
        <v>35000</v>
      </c>
      <c r="Q30" s="9">
        <v>12000</v>
      </c>
      <c r="R30" s="204">
        <f t="shared" si="6"/>
        <v>0.5</v>
      </c>
      <c r="S30" s="204">
        <f t="shared" si="7"/>
        <v>0.35964912280701755</v>
      </c>
      <c r="T30" s="204">
        <f t="shared" si="8"/>
        <v>0.13157894736842105</v>
      </c>
      <c r="U30" s="204">
        <f t="shared" si="9"/>
        <v>0.73333333333333328</v>
      </c>
      <c r="V30" s="204">
        <f t="shared" si="10"/>
        <v>0.16666666666666666</v>
      </c>
      <c r="W30" s="204">
        <f t="shared" si="11"/>
        <v>0.1</v>
      </c>
      <c r="X30" s="204" t="e">
        <f t="shared" si="16"/>
        <v>#VALUE!</v>
      </c>
      <c r="Y30" s="204">
        <f t="shared" si="12"/>
        <v>0.5</v>
      </c>
      <c r="Z30" s="204" t="e">
        <f t="shared" si="13"/>
        <v>#VALUE!</v>
      </c>
      <c r="AA30" s="204">
        <f t="shared" si="17"/>
        <v>0.41975308641975306</v>
      </c>
      <c r="AB30" s="204">
        <f t="shared" si="14"/>
        <v>0.43209876543209874</v>
      </c>
      <c r="AC30" s="204">
        <f t="shared" si="15"/>
        <v>0.14814814814814814</v>
      </c>
    </row>
    <row r="31" spans="1:29" ht="12.45" customHeight="1">
      <c r="A31" s="117" t="s">
        <v>194</v>
      </c>
      <c r="B31" s="105">
        <v>231000</v>
      </c>
      <c r="C31" s="9">
        <v>104000</v>
      </c>
      <c r="D31" s="9">
        <v>84000</v>
      </c>
      <c r="E31" s="9">
        <v>43000</v>
      </c>
      <c r="F31" s="9">
        <v>46000</v>
      </c>
      <c r="G31" s="9">
        <v>30000</v>
      </c>
      <c r="H31" s="9">
        <v>8000</v>
      </c>
      <c r="I31" s="9">
        <v>8000</v>
      </c>
      <c r="J31" s="9">
        <v>12000</v>
      </c>
      <c r="K31" s="9">
        <v>3000</v>
      </c>
      <c r="L31" s="9">
        <v>5000</v>
      </c>
      <c r="M31" s="13" t="s">
        <v>191</v>
      </c>
      <c r="N31" s="9">
        <v>173000</v>
      </c>
      <c r="O31" s="9">
        <v>70000</v>
      </c>
      <c r="P31" s="9">
        <v>71000</v>
      </c>
      <c r="Q31" s="9">
        <v>32000</v>
      </c>
      <c r="R31" s="204">
        <f t="shared" si="6"/>
        <v>0.45021645021645024</v>
      </c>
      <c r="S31" s="204">
        <f t="shared" si="7"/>
        <v>0.36363636363636365</v>
      </c>
      <c r="T31" s="204">
        <f t="shared" si="8"/>
        <v>0.18614718614718614</v>
      </c>
      <c r="U31" s="204">
        <f t="shared" si="9"/>
        <v>0.65217391304347827</v>
      </c>
      <c r="V31" s="204">
        <f t="shared" si="10"/>
        <v>0.17391304347826086</v>
      </c>
      <c r="W31" s="204">
        <f t="shared" si="11"/>
        <v>0.17391304347826086</v>
      </c>
      <c r="X31" s="204">
        <f t="shared" si="16"/>
        <v>0.25</v>
      </c>
      <c r="Y31" s="204">
        <f t="shared" si="12"/>
        <v>0.41666666666666669</v>
      </c>
      <c r="Z31" s="204" t="e">
        <f t="shared" si="13"/>
        <v>#VALUE!</v>
      </c>
      <c r="AA31" s="204">
        <f t="shared" si="17"/>
        <v>0.40462427745664742</v>
      </c>
      <c r="AB31" s="204">
        <f t="shared" si="14"/>
        <v>0.41040462427745666</v>
      </c>
      <c r="AC31" s="204">
        <f t="shared" si="15"/>
        <v>0.18497109826589594</v>
      </c>
    </row>
    <row r="32" spans="1:29" ht="12.45" customHeight="1">
      <c r="A32" s="117" t="s">
        <v>195</v>
      </c>
      <c r="B32" s="105">
        <v>602000</v>
      </c>
      <c r="C32" s="9">
        <v>435000</v>
      </c>
      <c r="D32" s="9">
        <v>104000</v>
      </c>
      <c r="E32" s="9">
        <v>63000</v>
      </c>
      <c r="F32" s="9">
        <v>96000</v>
      </c>
      <c r="G32" s="9">
        <v>81000</v>
      </c>
      <c r="H32" s="9">
        <v>8000</v>
      </c>
      <c r="I32" s="9">
        <v>6000</v>
      </c>
      <c r="J32" s="9">
        <v>73000</v>
      </c>
      <c r="K32" s="9">
        <v>52000</v>
      </c>
      <c r="L32" s="9">
        <v>18000</v>
      </c>
      <c r="M32" s="9">
        <v>3000</v>
      </c>
      <c r="N32" s="9">
        <v>433000</v>
      </c>
      <c r="O32" s="9">
        <v>302000</v>
      </c>
      <c r="P32" s="9">
        <v>78000</v>
      </c>
      <c r="Q32" s="9">
        <v>54000</v>
      </c>
      <c r="R32" s="204">
        <f t="shared" si="6"/>
        <v>0.72259136212624586</v>
      </c>
      <c r="S32" s="204">
        <f t="shared" si="7"/>
        <v>0.17275747508305647</v>
      </c>
      <c r="T32" s="204">
        <f t="shared" si="8"/>
        <v>0.10465116279069768</v>
      </c>
      <c r="U32" s="204">
        <f t="shared" si="9"/>
        <v>0.84375</v>
      </c>
      <c r="V32" s="204">
        <f t="shared" si="10"/>
        <v>8.3333333333333329E-2</v>
      </c>
      <c r="W32" s="204">
        <f t="shared" si="11"/>
        <v>6.25E-2</v>
      </c>
      <c r="X32" s="204">
        <f t="shared" si="16"/>
        <v>0.71232876712328763</v>
      </c>
      <c r="Y32" s="204">
        <f t="shared" si="12"/>
        <v>0.24657534246575341</v>
      </c>
      <c r="Z32" s="204">
        <f t="shared" si="13"/>
        <v>4.1095890410958902E-2</v>
      </c>
      <c r="AA32" s="204">
        <f t="shared" si="17"/>
        <v>0.69745958429561206</v>
      </c>
      <c r="AB32" s="204">
        <f t="shared" si="14"/>
        <v>0.18013856812933027</v>
      </c>
      <c r="AC32" s="204">
        <f t="shared" si="15"/>
        <v>0.12471131639722864</v>
      </c>
    </row>
    <row r="33" spans="1:29" ht="12.45" customHeight="1">
      <c r="A33" s="117" t="s">
        <v>196</v>
      </c>
      <c r="B33" s="105">
        <v>82000</v>
      </c>
      <c r="C33" s="9">
        <v>34000</v>
      </c>
      <c r="D33" s="9">
        <v>28000</v>
      </c>
      <c r="E33" s="9">
        <v>20000</v>
      </c>
      <c r="F33" s="9">
        <v>22000</v>
      </c>
      <c r="G33" s="9">
        <v>15000</v>
      </c>
      <c r="H33" s="13" t="s">
        <v>191</v>
      </c>
      <c r="I33" s="13" t="s">
        <v>191</v>
      </c>
      <c r="J33" s="9">
        <v>7000</v>
      </c>
      <c r="K33" s="13" t="s">
        <v>191</v>
      </c>
      <c r="L33" s="13" t="s">
        <v>220</v>
      </c>
      <c r="M33" s="13" t="s">
        <v>191</v>
      </c>
      <c r="N33" s="9">
        <v>53000</v>
      </c>
      <c r="O33" s="9">
        <v>17000</v>
      </c>
      <c r="P33" s="9">
        <v>23000</v>
      </c>
      <c r="Q33" s="9">
        <v>13000</v>
      </c>
      <c r="R33" s="204">
        <f t="shared" si="6"/>
        <v>0.41463414634146339</v>
      </c>
      <c r="S33" s="204">
        <f t="shared" si="7"/>
        <v>0.34146341463414637</v>
      </c>
      <c r="T33" s="204">
        <f t="shared" si="8"/>
        <v>0.24390243902439024</v>
      </c>
      <c r="U33" s="204">
        <f t="shared" si="9"/>
        <v>0.68181818181818177</v>
      </c>
      <c r="V33" s="204" t="e">
        <f t="shared" si="10"/>
        <v>#VALUE!</v>
      </c>
      <c r="W33" s="204" t="e">
        <f t="shared" si="11"/>
        <v>#VALUE!</v>
      </c>
      <c r="X33" s="204" t="e">
        <f t="shared" si="16"/>
        <v>#VALUE!</v>
      </c>
      <c r="Y33" s="204" t="e">
        <f t="shared" si="12"/>
        <v>#VALUE!</v>
      </c>
      <c r="Z33" s="204" t="e">
        <f t="shared" si="13"/>
        <v>#VALUE!</v>
      </c>
      <c r="AA33" s="204">
        <f t="shared" si="17"/>
        <v>0.32075471698113206</v>
      </c>
      <c r="AB33" s="204">
        <f t="shared" si="14"/>
        <v>0.43396226415094341</v>
      </c>
      <c r="AC33" s="204">
        <f t="shared" si="15"/>
        <v>0.24528301886792453</v>
      </c>
    </row>
    <row r="34" spans="1:29" ht="12.45" customHeight="1">
      <c r="A34" s="117" t="s">
        <v>197</v>
      </c>
      <c r="B34" s="105">
        <v>142000</v>
      </c>
      <c r="C34" s="9">
        <v>63000</v>
      </c>
      <c r="D34" s="9">
        <v>38000</v>
      </c>
      <c r="E34" s="9">
        <v>41000</v>
      </c>
      <c r="F34" s="9">
        <v>18000</v>
      </c>
      <c r="G34" s="9">
        <v>9000</v>
      </c>
      <c r="H34" s="9">
        <v>4000</v>
      </c>
      <c r="I34" s="9">
        <v>5000</v>
      </c>
      <c r="J34" s="9">
        <v>15000</v>
      </c>
      <c r="K34" s="9">
        <v>10000</v>
      </c>
      <c r="L34" s="9">
        <v>4000</v>
      </c>
      <c r="M34" s="13" t="s">
        <v>220</v>
      </c>
      <c r="N34" s="9">
        <v>110000</v>
      </c>
      <c r="O34" s="9">
        <v>44000</v>
      </c>
      <c r="P34" s="9">
        <v>30000</v>
      </c>
      <c r="Q34" s="9">
        <v>35000</v>
      </c>
      <c r="R34" s="204">
        <f t="shared" si="6"/>
        <v>0.44366197183098594</v>
      </c>
      <c r="S34" s="204">
        <f t="shared" si="7"/>
        <v>0.26760563380281688</v>
      </c>
      <c r="T34" s="204">
        <f t="shared" si="8"/>
        <v>0.28873239436619719</v>
      </c>
      <c r="U34" s="204">
        <f t="shared" si="9"/>
        <v>0.5</v>
      </c>
      <c r="V34" s="204">
        <f t="shared" si="10"/>
        <v>0.22222222222222221</v>
      </c>
      <c r="W34" s="204">
        <f t="shared" si="11"/>
        <v>0.27777777777777779</v>
      </c>
      <c r="X34" s="204">
        <f t="shared" si="16"/>
        <v>0.66666666666666663</v>
      </c>
      <c r="Y34" s="204">
        <f t="shared" si="12"/>
        <v>0.26666666666666666</v>
      </c>
      <c r="Z34" s="204" t="e">
        <f t="shared" si="13"/>
        <v>#VALUE!</v>
      </c>
      <c r="AA34" s="204">
        <f t="shared" si="17"/>
        <v>0.4</v>
      </c>
      <c r="AB34" s="204">
        <f t="shared" si="14"/>
        <v>0.27272727272727271</v>
      </c>
      <c r="AC34" s="204">
        <f t="shared" si="15"/>
        <v>0.31818181818181818</v>
      </c>
    </row>
    <row r="35" spans="1:29" ht="12.45" customHeight="1">
      <c r="A35" s="116" t="s">
        <v>198</v>
      </c>
      <c r="B35" s="105">
        <v>1030000</v>
      </c>
      <c r="C35" s="9">
        <v>696000</v>
      </c>
      <c r="D35" s="9">
        <v>274000</v>
      </c>
      <c r="E35" s="9">
        <v>60000</v>
      </c>
      <c r="F35" s="9">
        <v>635000</v>
      </c>
      <c r="G35" s="9">
        <v>483000</v>
      </c>
      <c r="H35" s="9">
        <v>139000</v>
      </c>
      <c r="I35" s="9">
        <v>13000</v>
      </c>
      <c r="J35" s="9">
        <v>178000</v>
      </c>
      <c r="K35" s="9">
        <v>124000</v>
      </c>
      <c r="L35" s="9">
        <v>48000</v>
      </c>
      <c r="M35" s="9">
        <v>6000</v>
      </c>
      <c r="N35" s="9">
        <v>216000</v>
      </c>
      <c r="O35" s="9">
        <v>88000</v>
      </c>
      <c r="P35" s="9">
        <v>86000</v>
      </c>
      <c r="Q35" s="9">
        <v>42000</v>
      </c>
      <c r="R35" s="204">
        <f t="shared" si="6"/>
        <v>0.67572815533980579</v>
      </c>
      <c r="S35" s="204">
        <f t="shared" si="7"/>
        <v>0.26601941747572816</v>
      </c>
      <c r="T35" s="204">
        <f t="shared" si="8"/>
        <v>5.8252427184466021E-2</v>
      </c>
      <c r="U35" s="204">
        <f t="shared" si="9"/>
        <v>0.76062992125984252</v>
      </c>
      <c r="V35" s="204">
        <f t="shared" si="10"/>
        <v>0.2188976377952756</v>
      </c>
      <c r="W35" s="204">
        <f t="shared" si="11"/>
        <v>2.0472440944881889E-2</v>
      </c>
      <c r="X35" s="204">
        <f t="shared" si="16"/>
        <v>0.6966292134831461</v>
      </c>
      <c r="Y35" s="204">
        <f t="shared" si="12"/>
        <v>0.2696629213483146</v>
      </c>
      <c r="Z35" s="204">
        <f t="shared" si="13"/>
        <v>3.3707865168539325E-2</v>
      </c>
      <c r="AA35" s="204">
        <f t="shared" si="17"/>
        <v>0.40740740740740738</v>
      </c>
      <c r="AB35" s="204">
        <f t="shared" si="14"/>
        <v>0.39814814814814814</v>
      </c>
      <c r="AC35" s="204">
        <f t="shared" si="15"/>
        <v>0.19444444444444445</v>
      </c>
    </row>
    <row r="36" spans="1:29" ht="12.45" customHeight="1">
      <c r="A36" s="117" t="s">
        <v>199</v>
      </c>
      <c r="B36" s="105">
        <v>48000</v>
      </c>
      <c r="C36" s="9">
        <v>32000</v>
      </c>
      <c r="D36" s="9">
        <v>13000</v>
      </c>
      <c r="E36" s="9">
        <v>3000</v>
      </c>
      <c r="F36" s="9">
        <v>29000</v>
      </c>
      <c r="G36" s="9">
        <v>22000</v>
      </c>
      <c r="H36" s="9">
        <v>6000</v>
      </c>
      <c r="I36" s="9">
        <v>1000</v>
      </c>
      <c r="J36" s="9">
        <v>7000</v>
      </c>
      <c r="K36" s="9">
        <v>5000</v>
      </c>
      <c r="L36" s="13" t="s">
        <v>191</v>
      </c>
      <c r="M36" s="13" t="s">
        <v>220</v>
      </c>
      <c r="N36" s="9">
        <v>12000</v>
      </c>
      <c r="O36" s="13" t="s">
        <v>191</v>
      </c>
      <c r="P36" s="9">
        <v>5000</v>
      </c>
      <c r="Q36" s="13" t="s">
        <v>191</v>
      </c>
      <c r="R36" s="204">
        <f t="shared" si="6"/>
        <v>0.66666666666666663</v>
      </c>
      <c r="S36" s="204">
        <f t="shared" si="7"/>
        <v>0.27083333333333331</v>
      </c>
      <c r="T36" s="204">
        <f t="shared" si="8"/>
        <v>6.25E-2</v>
      </c>
      <c r="U36" s="204">
        <f t="shared" si="9"/>
        <v>0.75862068965517238</v>
      </c>
      <c r="V36" s="204">
        <f t="shared" si="10"/>
        <v>0.20689655172413793</v>
      </c>
      <c r="W36" s="204">
        <f t="shared" si="11"/>
        <v>3.4482758620689655E-2</v>
      </c>
      <c r="X36" s="204">
        <f t="shared" si="16"/>
        <v>0.7142857142857143</v>
      </c>
      <c r="Y36" s="204" t="e">
        <f t="shared" si="12"/>
        <v>#VALUE!</v>
      </c>
      <c r="Z36" s="204" t="e">
        <f t="shared" si="13"/>
        <v>#VALUE!</v>
      </c>
      <c r="AA36" s="204" t="e">
        <f t="shared" si="17"/>
        <v>#VALUE!</v>
      </c>
      <c r="AB36" s="204">
        <f t="shared" si="14"/>
        <v>0.41666666666666669</v>
      </c>
      <c r="AC36" s="204" t="e">
        <f t="shared" si="15"/>
        <v>#VALUE!</v>
      </c>
    </row>
    <row r="37" spans="1:29" ht="12.45" customHeight="1">
      <c r="A37" s="117" t="s">
        <v>200</v>
      </c>
      <c r="B37" s="105">
        <v>38000</v>
      </c>
      <c r="C37" s="9">
        <v>16000</v>
      </c>
      <c r="D37" s="9">
        <v>16000</v>
      </c>
      <c r="E37" s="9">
        <v>5000</v>
      </c>
      <c r="F37" s="9">
        <v>19000</v>
      </c>
      <c r="G37" s="9">
        <v>11000</v>
      </c>
      <c r="H37" s="9">
        <v>6000</v>
      </c>
      <c r="I37" s="13" t="s">
        <v>191</v>
      </c>
      <c r="J37" s="9">
        <v>7000</v>
      </c>
      <c r="K37" s="13" t="s">
        <v>191</v>
      </c>
      <c r="L37" s="13" t="s">
        <v>191</v>
      </c>
      <c r="M37" s="13" t="s">
        <v>220</v>
      </c>
      <c r="N37" s="9">
        <v>11000</v>
      </c>
      <c r="O37" s="9">
        <v>3000</v>
      </c>
      <c r="P37" s="9">
        <v>5000</v>
      </c>
      <c r="Q37" s="9">
        <v>3000</v>
      </c>
      <c r="R37" s="204">
        <f t="shared" si="6"/>
        <v>0.42105263157894735</v>
      </c>
      <c r="S37" s="204">
        <f t="shared" si="7"/>
        <v>0.42105263157894735</v>
      </c>
      <c r="T37" s="204">
        <f t="shared" si="8"/>
        <v>0.13157894736842105</v>
      </c>
      <c r="U37" s="204">
        <f t="shared" si="9"/>
        <v>0.57894736842105265</v>
      </c>
      <c r="V37" s="204">
        <f t="shared" si="10"/>
        <v>0.31578947368421051</v>
      </c>
      <c r="W37" s="204" t="e">
        <f t="shared" si="11"/>
        <v>#VALUE!</v>
      </c>
      <c r="X37" s="204" t="e">
        <f t="shared" si="16"/>
        <v>#VALUE!</v>
      </c>
      <c r="Y37" s="204" t="e">
        <f t="shared" si="12"/>
        <v>#VALUE!</v>
      </c>
      <c r="Z37" s="204" t="e">
        <f t="shared" si="13"/>
        <v>#VALUE!</v>
      </c>
      <c r="AA37" s="204">
        <f t="shared" si="17"/>
        <v>0.27272727272727271</v>
      </c>
      <c r="AB37" s="204">
        <f t="shared" si="14"/>
        <v>0.45454545454545453</v>
      </c>
      <c r="AC37" s="204">
        <f t="shared" si="15"/>
        <v>0.27272727272727271</v>
      </c>
    </row>
    <row r="38" spans="1:29" ht="12.45" customHeight="1">
      <c r="A38" s="117" t="s">
        <v>201</v>
      </c>
      <c r="B38" s="105">
        <v>126000</v>
      </c>
      <c r="C38" s="9">
        <v>101000</v>
      </c>
      <c r="D38" s="9">
        <v>20000</v>
      </c>
      <c r="E38" s="9">
        <v>5000</v>
      </c>
      <c r="F38" s="9">
        <v>85000</v>
      </c>
      <c r="G38" s="9">
        <v>73000</v>
      </c>
      <c r="H38" s="9">
        <v>11000</v>
      </c>
      <c r="I38" s="13" t="s">
        <v>191</v>
      </c>
      <c r="J38" s="9">
        <v>21000</v>
      </c>
      <c r="K38" s="9">
        <v>18000</v>
      </c>
      <c r="L38" s="9">
        <v>2000</v>
      </c>
      <c r="M38" s="13" t="s">
        <v>220</v>
      </c>
      <c r="N38" s="9">
        <v>20000</v>
      </c>
      <c r="O38" s="9">
        <v>9000</v>
      </c>
      <c r="P38" s="9">
        <v>6000</v>
      </c>
      <c r="Q38" s="9">
        <v>4000</v>
      </c>
      <c r="R38" s="204">
        <f t="shared" si="6"/>
        <v>0.80158730158730163</v>
      </c>
      <c r="S38" s="204">
        <f t="shared" si="7"/>
        <v>0.15873015873015872</v>
      </c>
      <c r="T38" s="204">
        <f t="shared" si="8"/>
        <v>3.968253968253968E-2</v>
      </c>
      <c r="U38" s="204">
        <f t="shared" si="9"/>
        <v>0.85882352941176465</v>
      </c>
      <c r="V38" s="204">
        <f t="shared" si="10"/>
        <v>0.12941176470588237</v>
      </c>
      <c r="W38" s="204" t="e">
        <f t="shared" si="11"/>
        <v>#VALUE!</v>
      </c>
      <c r="X38" s="204">
        <f t="shared" si="16"/>
        <v>0.8571428571428571</v>
      </c>
      <c r="Y38" s="204">
        <f t="shared" si="12"/>
        <v>9.5238095238095233E-2</v>
      </c>
      <c r="Z38" s="204" t="e">
        <f t="shared" si="13"/>
        <v>#VALUE!</v>
      </c>
      <c r="AA38" s="204">
        <f t="shared" si="17"/>
        <v>0.45</v>
      </c>
      <c r="AB38" s="204">
        <f t="shared" si="14"/>
        <v>0.3</v>
      </c>
      <c r="AC38" s="204">
        <f t="shared" si="15"/>
        <v>0.2</v>
      </c>
    </row>
    <row r="39" spans="1:29" ht="12.45" customHeight="1">
      <c r="A39" s="117" t="s">
        <v>202</v>
      </c>
      <c r="B39" s="105">
        <v>406000</v>
      </c>
      <c r="C39" s="9">
        <v>293000</v>
      </c>
      <c r="D39" s="9">
        <v>95000</v>
      </c>
      <c r="E39" s="9">
        <v>18000</v>
      </c>
      <c r="F39" s="9">
        <v>262000</v>
      </c>
      <c r="G39" s="9">
        <v>207000</v>
      </c>
      <c r="H39" s="9">
        <v>53000</v>
      </c>
      <c r="I39" s="9">
        <v>2000</v>
      </c>
      <c r="J39" s="9">
        <v>76000</v>
      </c>
      <c r="K39" s="9">
        <v>54000</v>
      </c>
      <c r="L39" s="9">
        <v>20000</v>
      </c>
      <c r="M39" s="9">
        <v>1000</v>
      </c>
      <c r="N39" s="9">
        <v>68000</v>
      </c>
      <c r="O39" s="9">
        <v>32000</v>
      </c>
      <c r="P39" s="9">
        <v>21000</v>
      </c>
      <c r="Q39" s="9">
        <v>15000</v>
      </c>
      <c r="R39" s="204">
        <f t="shared" si="6"/>
        <v>0.72167487684729059</v>
      </c>
      <c r="S39" s="204">
        <f t="shared" si="7"/>
        <v>0.23399014778325122</v>
      </c>
      <c r="T39" s="204">
        <f t="shared" si="8"/>
        <v>4.4334975369458129E-2</v>
      </c>
      <c r="U39" s="204">
        <f t="shared" si="9"/>
        <v>0.79007633587786263</v>
      </c>
      <c r="V39" s="204">
        <f t="shared" si="10"/>
        <v>0.20229007633587787</v>
      </c>
      <c r="W39" s="204">
        <f t="shared" si="11"/>
        <v>7.6335877862595417E-3</v>
      </c>
      <c r="X39" s="204">
        <f t="shared" si="16"/>
        <v>0.71052631578947367</v>
      </c>
      <c r="Y39" s="204">
        <f t="shared" si="12"/>
        <v>0.26315789473684209</v>
      </c>
      <c r="Z39" s="204">
        <f t="shared" si="13"/>
        <v>1.3157894736842105E-2</v>
      </c>
      <c r="AA39" s="204">
        <f t="shared" si="17"/>
        <v>0.47058823529411764</v>
      </c>
      <c r="AB39" s="204">
        <f t="shared" si="14"/>
        <v>0.30882352941176472</v>
      </c>
      <c r="AC39" s="204">
        <f t="shared" si="15"/>
        <v>0.22058823529411764</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row r="44" spans="1:29">
      <c r="R44" s="204"/>
      <c r="S44" s="204"/>
      <c r="T44" s="204"/>
      <c r="U44" s="204"/>
      <c r="V44" s="204"/>
      <c r="W44" s="204"/>
      <c r="X44" s="204"/>
      <c r="Y44" s="204"/>
      <c r="Z44" s="204"/>
      <c r="AA44" s="204"/>
      <c r="AB44" s="204"/>
      <c r="AC44" s="204"/>
    </row>
  </sheetData>
  <mergeCells count="18">
    <mergeCell ref="A1:R1"/>
    <mergeCell ref="A3:A4"/>
    <mergeCell ref="B3:E3"/>
    <mergeCell ref="F3:I3"/>
    <mergeCell ref="J3:M3"/>
    <mergeCell ref="N3:Q3"/>
    <mergeCell ref="R3:R4"/>
    <mergeCell ref="S3:S4"/>
    <mergeCell ref="T3:T4"/>
    <mergeCell ref="U3:U4"/>
    <mergeCell ref="V3:V4"/>
    <mergeCell ref="W3:W4"/>
    <mergeCell ref="AC3:AC4"/>
    <mergeCell ref="X3:X4"/>
    <mergeCell ref="Y3:Y4"/>
    <mergeCell ref="Z3:Z4"/>
    <mergeCell ref="AA3:AA4"/>
    <mergeCell ref="AB3:AB4"/>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43"/>
  <sheetViews>
    <sheetView topLeftCell="V13" workbookViewId="0">
      <selection activeCell="A5" sqref="A5:AC3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2" ht="39" customHeight="1">
      <c r="A1" s="321" t="s">
        <v>234</v>
      </c>
      <c r="B1" s="321"/>
      <c r="C1" s="321"/>
      <c r="D1" s="321"/>
      <c r="E1" s="321"/>
      <c r="F1" s="321"/>
      <c r="G1" s="321"/>
      <c r="H1" s="321"/>
      <c r="I1" s="321"/>
      <c r="J1" s="321"/>
      <c r="K1" s="321"/>
      <c r="L1" s="321"/>
      <c r="M1" s="321"/>
      <c r="N1" s="321"/>
      <c r="O1" s="321"/>
      <c r="P1" s="321"/>
      <c r="Q1" s="321"/>
      <c r="R1" s="321"/>
    </row>
    <row r="2" spans="1:32" ht="1.95" customHeight="1"/>
    <row r="3" spans="1:32" ht="13.95" customHeight="1">
      <c r="A3" s="339" t="s">
        <v>166</v>
      </c>
      <c r="B3" s="330" t="s">
        <v>235</v>
      </c>
      <c r="C3" s="331"/>
      <c r="D3" s="331"/>
      <c r="E3" s="332"/>
      <c r="F3" s="330" t="s">
        <v>174</v>
      </c>
      <c r="G3" s="331"/>
      <c r="H3" s="331"/>
      <c r="I3" s="332"/>
      <c r="J3" s="330" t="s">
        <v>175</v>
      </c>
      <c r="K3" s="331"/>
      <c r="L3" s="331"/>
      <c r="M3" s="332"/>
      <c r="N3" s="330" t="s">
        <v>176</v>
      </c>
      <c r="O3" s="331"/>
      <c r="P3" s="331"/>
      <c r="Q3" s="332"/>
      <c r="R3" s="342" t="s">
        <v>236</v>
      </c>
      <c r="S3" s="342" t="s">
        <v>237</v>
      </c>
      <c r="T3" s="342" t="s">
        <v>238</v>
      </c>
      <c r="U3" s="342" t="s">
        <v>239</v>
      </c>
      <c r="V3" s="342" t="s">
        <v>240</v>
      </c>
      <c r="W3" s="342" t="s">
        <v>241</v>
      </c>
      <c r="X3" s="342" t="s">
        <v>242</v>
      </c>
      <c r="Y3" s="342" t="s">
        <v>243</v>
      </c>
      <c r="Z3" s="342" t="s">
        <v>244</v>
      </c>
      <c r="AA3" s="342" t="s">
        <v>245</v>
      </c>
      <c r="AB3" s="342" t="s">
        <v>246</v>
      </c>
      <c r="AC3" s="342" t="s">
        <v>247</v>
      </c>
      <c r="AD3" s="205"/>
      <c r="AE3" s="205"/>
      <c r="AF3" s="205"/>
    </row>
    <row r="4" spans="1:32" ht="13.95" customHeight="1">
      <c r="A4" s="340"/>
      <c r="B4" s="23" t="s">
        <v>167</v>
      </c>
      <c r="C4" s="5" t="s">
        <v>248</v>
      </c>
      <c r="D4" s="5" t="s">
        <v>249</v>
      </c>
      <c r="E4" s="5" t="s">
        <v>250</v>
      </c>
      <c r="F4" s="41" t="s">
        <v>167</v>
      </c>
      <c r="G4" s="5" t="s">
        <v>248</v>
      </c>
      <c r="H4" s="5" t="s">
        <v>249</v>
      </c>
      <c r="I4" s="5" t="s">
        <v>250</v>
      </c>
      <c r="J4" s="41" t="s">
        <v>167</v>
      </c>
      <c r="K4" s="5" t="s">
        <v>248</v>
      </c>
      <c r="L4" s="5" t="s">
        <v>249</v>
      </c>
      <c r="M4" s="5" t="s">
        <v>250</v>
      </c>
      <c r="N4" s="23" t="s">
        <v>167</v>
      </c>
      <c r="O4" s="5" t="s">
        <v>248</v>
      </c>
      <c r="P4" s="5" t="s">
        <v>249</v>
      </c>
      <c r="Q4" s="5" t="s">
        <v>250</v>
      </c>
      <c r="R4" s="337"/>
      <c r="S4" s="337"/>
      <c r="T4" s="337"/>
      <c r="U4" s="337"/>
      <c r="V4" s="337"/>
      <c r="W4" s="337"/>
      <c r="X4" s="337"/>
      <c r="Y4" s="337"/>
      <c r="Z4" s="337"/>
      <c r="AA4" s="337"/>
      <c r="AB4" s="337"/>
      <c r="AC4" s="337"/>
      <c r="AD4" s="203"/>
      <c r="AE4" s="203"/>
      <c r="AF4" s="203"/>
    </row>
    <row r="5" spans="1:32" ht="12.45" customHeight="1">
      <c r="A5" s="117" t="s">
        <v>203</v>
      </c>
      <c r="B5" s="107">
        <v>66000</v>
      </c>
      <c r="C5" s="7">
        <v>35000</v>
      </c>
      <c r="D5" s="7">
        <v>26000</v>
      </c>
      <c r="E5" s="7">
        <v>4000</v>
      </c>
      <c r="F5" s="7">
        <v>31000</v>
      </c>
      <c r="G5" s="7">
        <v>18000</v>
      </c>
      <c r="H5" s="7">
        <v>13000</v>
      </c>
      <c r="I5" s="19" t="s">
        <v>220</v>
      </c>
      <c r="J5" s="7">
        <v>12000</v>
      </c>
      <c r="K5" s="7">
        <v>6000</v>
      </c>
      <c r="L5" s="7">
        <v>6000</v>
      </c>
      <c r="M5" s="19" t="s">
        <v>220</v>
      </c>
      <c r="N5" s="7">
        <v>22000</v>
      </c>
      <c r="O5" s="7">
        <v>11000</v>
      </c>
      <c r="P5" s="7">
        <v>7000</v>
      </c>
      <c r="Q5" s="7">
        <v>4000</v>
      </c>
      <c r="R5" s="204">
        <f>C5/$B5</f>
        <v>0.53030303030303028</v>
      </c>
      <c r="S5" s="204">
        <f t="shared" ref="S5:T5" si="0">D5/$B5</f>
        <v>0.39393939393939392</v>
      </c>
      <c r="T5" s="204">
        <f t="shared" si="0"/>
        <v>6.0606060606060608E-2</v>
      </c>
      <c r="U5" s="204">
        <f>G5/$F5</f>
        <v>0.58064516129032262</v>
      </c>
      <c r="V5" s="204">
        <f t="shared" ref="V5:W5" si="1">H5/$F5</f>
        <v>0.41935483870967744</v>
      </c>
      <c r="W5" s="204" t="e">
        <f t="shared" si="1"/>
        <v>#VALUE!</v>
      </c>
      <c r="X5" s="204">
        <f>K5/$J5</f>
        <v>0.5</v>
      </c>
      <c r="Y5" s="204">
        <f t="shared" ref="Y5:Z5" si="2">L5/$J5</f>
        <v>0.5</v>
      </c>
      <c r="Z5" s="204" t="e">
        <f t="shared" si="2"/>
        <v>#VALUE!</v>
      </c>
      <c r="AA5" s="204">
        <f>O5/$N5</f>
        <v>0.5</v>
      </c>
      <c r="AB5" s="204">
        <f t="shared" ref="AB5:AC5" si="3">P5/$N5</f>
        <v>0.31818181818181818</v>
      </c>
      <c r="AC5" s="204">
        <f t="shared" si="3"/>
        <v>0.18181818181818182</v>
      </c>
    </row>
    <row r="6" spans="1:32" ht="12.45" customHeight="1">
      <c r="A6" s="117" t="s">
        <v>204</v>
      </c>
      <c r="B6" s="105">
        <v>159000</v>
      </c>
      <c r="C6" s="9">
        <v>96000</v>
      </c>
      <c r="D6" s="9">
        <v>55000</v>
      </c>
      <c r="E6" s="9">
        <v>8000</v>
      </c>
      <c r="F6" s="9">
        <v>107000</v>
      </c>
      <c r="G6" s="9">
        <v>74000</v>
      </c>
      <c r="H6" s="9">
        <v>30000</v>
      </c>
      <c r="I6" s="9">
        <v>3000</v>
      </c>
      <c r="J6" s="9">
        <v>23000</v>
      </c>
      <c r="K6" s="9">
        <v>15000</v>
      </c>
      <c r="L6" s="9">
        <v>7000</v>
      </c>
      <c r="M6" s="13" t="s">
        <v>191</v>
      </c>
      <c r="N6" s="9">
        <v>30000</v>
      </c>
      <c r="O6" s="9">
        <v>7000</v>
      </c>
      <c r="P6" s="9">
        <v>19000</v>
      </c>
      <c r="Q6" s="9">
        <v>4000</v>
      </c>
      <c r="R6" s="204">
        <f t="shared" ref="R6:R39" si="4">C6/$B6</f>
        <v>0.60377358490566035</v>
      </c>
      <c r="S6" s="204">
        <f t="shared" ref="S6:S39" si="5">D6/$B6</f>
        <v>0.34591194968553457</v>
      </c>
      <c r="T6" s="204">
        <f t="shared" ref="T6:T39" si="6">E6/$B6</f>
        <v>5.0314465408805034E-2</v>
      </c>
      <c r="U6" s="204">
        <f t="shared" ref="U6:U39" si="7">G6/$F6</f>
        <v>0.69158878504672894</v>
      </c>
      <c r="V6" s="204">
        <f t="shared" ref="V6:V39" si="8">H6/$F6</f>
        <v>0.28037383177570091</v>
      </c>
      <c r="W6" s="204">
        <f t="shared" ref="W6:W39" si="9">I6/$F6</f>
        <v>2.8037383177570093E-2</v>
      </c>
      <c r="X6" s="204">
        <f t="shared" ref="X6:X39" si="10">K6/$J6</f>
        <v>0.65217391304347827</v>
      </c>
      <c r="Y6" s="204">
        <f t="shared" ref="Y6:Y39" si="11">L6/$J6</f>
        <v>0.30434782608695654</v>
      </c>
      <c r="Z6" s="204" t="e">
        <f t="shared" ref="Z6:Z39" si="12">M6/$J6</f>
        <v>#VALUE!</v>
      </c>
      <c r="AA6" s="204">
        <f t="shared" ref="AA6:AA39" si="13">O6/$N6</f>
        <v>0.23333333333333334</v>
      </c>
      <c r="AB6" s="204">
        <f t="shared" ref="AB6:AB39" si="14">P6/$N6</f>
        <v>0.6333333333333333</v>
      </c>
      <c r="AC6" s="204">
        <f t="shared" ref="AC6:AC39" si="15">Q6/$N6</f>
        <v>0.13333333333333333</v>
      </c>
    </row>
    <row r="7" spans="1:32" ht="12.45" customHeight="1">
      <c r="A7" s="117" t="s">
        <v>205</v>
      </c>
      <c r="B7" s="105">
        <v>188000</v>
      </c>
      <c r="C7" s="9">
        <v>123000</v>
      </c>
      <c r="D7" s="9">
        <v>48000</v>
      </c>
      <c r="E7" s="9">
        <v>17000</v>
      </c>
      <c r="F7" s="9">
        <v>102000</v>
      </c>
      <c r="G7" s="9">
        <v>79000</v>
      </c>
      <c r="H7" s="9">
        <v>20000</v>
      </c>
      <c r="I7" s="9">
        <v>4000</v>
      </c>
      <c r="J7" s="9">
        <v>32000</v>
      </c>
      <c r="K7" s="9">
        <v>24000</v>
      </c>
      <c r="L7" s="9">
        <v>6000</v>
      </c>
      <c r="M7" s="9">
        <v>2000</v>
      </c>
      <c r="N7" s="9">
        <v>54000</v>
      </c>
      <c r="O7" s="9">
        <v>20000</v>
      </c>
      <c r="P7" s="9">
        <v>23000</v>
      </c>
      <c r="Q7" s="9">
        <v>11000</v>
      </c>
      <c r="R7" s="204">
        <f t="shared" si="4"/>
        <v>0.6542553191489362</v>
      </c>
      <c r="S7" s="204">
        <f t="shared" si="5"/>
        <v>0.25531914893617019</v>
      </c>
      <c r="T7" s="204">
        <f t="shared" si="6"/>
        <v>9.0425531914893623E-2</v>
      </c>
      <c r="U7" s="204">
        <f t="shared" si="7"/>
        <v>0.77450980392156865</v>
      </c>
      <c r="V7" s="204">
        <f t="shared" si="8"/>
        <v>0.19607843137254902</v>
      </c>
      <c r="W7" s="204">
        <f t="shared" si="9"/>
        <v>3.9215686274509803E-2</v>
      </c>
      <c r="X7" s="204">
        <f t="shared" si="10"/>
        <v>0.75</v>
      </c>
      <c r="Y7" s="204">
        <f t="shared" si="11"/>
        <v>0.1875</v>
      </c>
      <c r="Z7" s="204">
        <f t="shared" si="12"/>
        <v>6.25E-2</v>
      </c>
      <c r="AA7" s="204">
        <f t="shared" si="13"/>
        <v>0.37037037037037035</v>
      </c>
      <c r="AB7" s="204">
        <f t="shared" si="14"/>
        <v>0.42592592592592593</v>
      </c>
      <c r="AC7" s="204">
        <f t="shared" si="15"/>
        <v>0.20370370370370369</v>
      </c>
    </row>
    <row r="8" spans="1:32" ht="12.45" customHeight="1">
      <c r="A8" s="115" t="s">
        <v>206</v>
      </c>
      <c r="B8" s="105">
        <v>2080000</v>
      </c>
      <c r="C8" s="9">
        <v>1630000</v>
      </c>
      <c r="D8" s="9">
        <v>287000</v>
      </c>
      <c r="E8" s="9">
        <v>163000</v>
      </c>
      <c r="F8" s="9">
        <v>156000</v>
      </c>
      <c r="G8" s="9">
        <v>120000</v>
      </c>
      <c r="H8" s="9">
        <v>22000</v>
      </c>
      <c r="I8" s="9">
        <v>14000</v>
      </c>
      <c r="J8" s="9">
        <v>1327000</v>
      </c>
      <c r="K8" s="9">
        <v>1178000</v>
      </c>
      <c r="L8" s="9">
        <v>120000</v>
      </c>
      <c r="M8" s="9">
        <v>29000</v>
      </c>
      <c r="N8" s="9">
        <v>598000</v>
      </c>
      <c r="O8" s="9">
        <v>332000</v>
      </c>
      <c r="P8" s="9">
        <v>145000</v>
      </c>
      <c r="Q8" s="9">
        <v>121000</v>
      </c>
      <c r="R8" s="204">
        <f t="shared" si="4"/>
        <v>0.78365384615384615</v>
      </c>
      <c r="S8" s="204">
        <f t="shared" si="5"/>
        <v>0.13798076923076924</v>
      </c>
      <c r="T8" s="204">
        <f t="shared" si="6"/>
        <v>7.8365384615384615E-2</v>
      </c>
      <c r="U8" s="204">
        <f t="shared" si="7"/>
        <v>0.76923076923076927</v>
      </c>
      <c r="V8" s="204">
        <f t="shared" si="8"/>
        <v>0.14102564102564102</v>
      </c>
      <c r="W8" s="204">
        <f t="shared" si="9"/>
        <v>8.9743589743589744E-2</v>
      </c>
      <c r="X8" s="204">
        <f t="shared" si="10"/>
        <v>0.88771665410700829</v>
      </c>
      <c r="Y8" s="204">
        <f t="shared" si="11"/>
        <v>9.0429540316503396E-2</v>
      </c>
      <c r="Z8" s="204">
        <f t="shared" si="12"/>
        <v>2.1853805576488319E-2</v>
      </c>
      <c r="AA8" s="204">
        <f t="shared" si="13"/>
        <v>0.55518394648829428</v>
      </c>
      <c r="AB8" s="204">
        <f t="shared" si="14"/>
        <v>0.24247491638795987</v>
      </c>
      <c r="AC8" s="204">
        <f t="shared" si="15"/>
        <v>0.20234113712374582</v>
      </c>
    </row>
    <row r="9" spans="1:32" ht="12.45" customHeight="1">
      <c r="A9" s="116" t="s">
        <v>207</v>
      </c>
      <c r="B9" s="105">
        <v>1561000</v>
      </c>
      <c r="C9" s="9">
        <v>1252000</v>
      </c>
      <c r="D9" s="9">
        <v>196000</v>
      </c>
      <c r="E9" s="9">
        <v>113000</v>
      </c>
      <c r="F9" s="9">
        <v>65000</v>
      </c>
      <c r="G9" s="9">
        <v>50000</v>
      </c>
      <c r="H9" s="9">
        <v>9000</v>
      </c>
      <c r="I9" s="9">
        <v>7000</v>
      </c>
      <c r="J9" s="9">
        <v>1102000</v>
      </c>
      <c r="K9" s="9">
        <v>975000</v>
      </c>
      <c r="L9" s="9">
        <v>99000</v>
      </c>
      <c r="M9" s="9">
        <v>27000</v>
      </c>
      <c r="N9" s="9">
        <v>394000</v>
      </c>
      <c r="O9" s="9">
        <v>227000</v>
      </c>
      <c r="P9" s="9">
        <v>88000</v>
      </c>
      <c r="Q9" s="9">
        <v>80000</v>
      </c>
      <c r="R9" s="204">
        <f t="shared" si="4"/>
        <v>0.80204996796925043</v>
      </c>
      <c r="S9" s="204">
        <f t="shared" si="5"/>
        <v>0.12556053811659193</v>
      </c>
      <c r="T9" s="204">
        <f t="shared" si="6"/>
        <v>7.2389493914157596E-2</v>
      </c>
      <c r="U9" s="204">
        <f t="shared" si="7"/>
        <v>0.76923076923076927</v>
      </c>
      <c r="V9" s="204">
        <f t="shared" si="8"/>
        <v>0.13846153846153847</v>
      </c>
      <c r="W9" s="204">
        <f t="shared" si="9"/>
        <v>0.1076923076923077</v>
      </c>
      <c r="X9" s="204">
        <f t="shared" si="10"/>
        <v>0.88475499092558985</v>
      </c>
      <c r="Y9" s="204">
        <f t="shared" si="11"/>
        <v>8.9836660617059888E-2</v>
      </c>
      <c r="Z9" s="204">
        <f t="shared" si="12"/>
        <v>2.4500907441016333E-2</v>
      </c>
      <c r="AA9" s="204">
        <f t="shared" si="13"/>
        <v>0.57614213197969544</v>
      </c>
      <c r="AB9" s="204">
        <f t="shared" si="14"/>
        <v>0.2233502538071066</v>
      </c>
      <c r="AC9" s="204">
        <f t="shared" si="15"/>
        <v>0.20304568527918782</v>
      </c>
    </row>
    <row r="10" spans="1:32" ht="12.45" customHeight="1">
      <c r="A10" s="116" t="s">
        <v>208</v>
      </c>
      <c r="B10" s="105">
        <v>244000</v>
      </c>
      <c r="C10" s="9">
        <v>177000</v>
      </c>
      <c r="D10" s="9">
        <v>40000</v>
      </c>
      <c r="E10" s="9">
        <v>26000</v>
      </c>
      <c r="F10" s="9">
        <v>14000</v>
      </c>
      <c r="G10" s="9">
        <v>7000</v>
      </c>
      <c r="H10" s="9">
        <v>3000</v>
      </c>
      <c r="I10" s="9">
        <v>5000</v>
      </c>
      <c r="J10" s="9">
        <v>133000</v>
      </c>
      <c r="K10" s="9">
        <v>118000</v>
      </c>
      <c r="L10" s="9">
        <v>15000</v>
      </c>
      <c r="M10" s="13" t="s">
        <v>191</v>
      </c>
      <c r="N10" s="9">
        <v>97000</v>
      </c>
      <c r="O10" s="9">
        <v>53000</v>
      </c>
      <c r="P10" s="9">
        <v>23000</v>
      </c>
      <c r="Q10" s="9">
        <v>21000</v>
      </c>
      <c r="R10" s="204">
        <f t="shared" si="4"/>
        <v>0.72540983606557374</v>
      </c>
      <c r="S10" s="204">
        <f t="shared" si="5"/>
        <v>0.16393442622950818</v>
      </c>
      <c r="T10" s="204">
        <f t="shared" si="6"/>
        <v>0.10655737704918032</v>
      </c>
      <c r="U10" s="204">
        <f t="shared" si="7"/>
        <v>0.5</v>
      </c>
      <c r="V10" s="204">
        <f t="shared" si="8"/>
        <v>0.21428571428571427</v>
      </c>
      <c r="W10" s="204">
        <f t="shared" si="9"/>
        <v>0.35714285714285715</v>
      </c>
      <c r="X10" s="204">
        <f t="shared" si="10"/>
        <v>0.88721804511278191</v>
      </c>
      <c r="Y10" s="204">
        <f t="shared" si="11"/>
        <v>0.11278195488721804</v>
      </c>
      <c r="Z10" s="204" t="e">
        <f t="shared" si="12"/>
        <v>#VALUE!</v>
      </c>
      <c r="AA10" s="204">
        <f t="shared" si="13"/>
        <v>0.54639175257731953</v>
      </c>
      <c r="AB10" s="204">
        <f t="shared" si="14"/>
        <v>0.23711340206185566</v>
      </c>
      <c r="AC10" s="204">
        <f t="shared" si="15"/>
        <v>0.21649484536082475</v>
      </c>
    </row>
    <row r="11" spans="1:32" ht="12.45" customHeight="1">
      <c r="A11" s="116" t="s">
        <v>209</v>
      </c>
      <c r="B11" s="105">
        <v>86000</v>
      </c>
      <c r="C11" s="9">
        <v>61000</v>
      </c>
      <c r="D11" s="9">
        <v>16000</v>
      </c>
      <c r="E11" s="9">
        <v>9000</v>
      </c>
      <c r="F11" s="9">
        <v>48000</v>
      </c>
      <c r="G11" s="9">
        <v>41000</v>
      </c>
      <c r="H11" s="9">
        <v>6000</v>
      </c>
      <c r="I11" s="13" t="s">
        <v>191</v>
      </c>
      <c r="J11" s="9">
        <v>13000</v>
      </c>
      <c r="K11" s="9">
        <v>9000</v>
      </c>
      <c r="L11" s="9">
        <v>4000</v>
      </c>
      <c r="M11" s="13" t="s">
        <v>220</v>
      </c>
      <c r="N11" s="9">
        <v>25000</v>
      </c>
      <c r="O11" s="9">
        <v>11000</v>
      </c>
      <c r="P11" s="9">
        <v>6000</v>
      </c>
      <c r="Q11" s="9">
        <v>8000</v>
      </c>
      <c r="R11" s="204">
        <f t="shared" si="4"/>
        <v>0.70930232558139539</v>
      </c>
      <c r="S11" s="204">
        <f t="shared" si="5"/>
        <v>0.18604651162790697</v>
      </c>
      <c r="T11" s="204">
        <f t="shared" si="6"/>
        <v>0.10465116279069768</v>
      </c>
      <c r="U11" s="204">
        <f t="shared" si="7"/>
        <v>0.85416666666666663</v>
      </c>
      <c r="V11" s="204">
        <f t="shared" si="8"/>
        <v>0.125</v>
      </c>
      <c r="W11" s="204" t="e">
        <f t="shared" si="9"/>
        <v>#VALUE!</v>
      </c>
      <c r="X11" s="204">
        <f t="shared" si="10"/>
        <v>0.69230769230769229</v>
      </c>
      <c r="Y11" s="204">
        <f t="shared" si="11"/>
        <v>0.30769230769230771</v>
      </c>
      <c r="Z11" s="204" t="e">
        <f t="shared" si="12"/>
        <v>#VALUE!</v>
      </c>
      <c r="AA11" s="204">
        <f t="shared" si="13"/>
        <v>0.44</v>
      </c>
      <c r="AB11" s="204">
        <f t="shared" si="14"/>
        <v>0.24</v>
      </c>
      <c r="AC11" s="204">
        <f t="shared" si="15"/>
        <v>0.32</v>
      </c>
    </row>
    <row r="12" spans="1:32" ht="12.45" customHeight="1">
      <c r="A12" s="116" t="s">
        <v>210</v>
      </c>
      <c r="B12" s="105">
        <v>189000</v>
      </c>
      <c r="C12" s="9">
        <v>140000</v>
      </c>
      <c r="D12" s="9">
        <v>35000</v>
      </c>
      <c r="E12" s="9">
        <v>15000</v>
      </c>
      <c r="F12" s="9">
        <v>28000</v>
      </c>
      <c r="G12" s="9">
        <v>22000</v>
      </c>
      <c r="H12" s="9">
        <v>4000</v>
      </c>
      <c r="I12" s="13" t="s">
        <v>191</v>
      </c>
      <c r="J12" s="9">
        <v>80000</v>
      </c>
      <c r="K12" s="9">
        <v>77000</v>
      </c>
      <c r="L12" s="9">
        <v>2000</v>
      </c>
      <c r="M12" s="13" t="s">
        <v>220</v>
      </c>
      <c r="N12" s="9">
        <v>81000</v>
      </c>
      <c r="O12" s="9">
        <v>41000</v>
      </c>
      <c r="P12" s="9">
        <v>29000</v>
      </c>
      <c r="Q12" s="9">
        <v>12000</v>
      </c>
      <c r="R12" s="204">
        <f t="shared" si="4"/>
        <v>0.7407407407407407</v>
      </c>
      <c r="S12" s="204">
        <f t="shared" si="5"/>
        <v>0.18518518518518517</v>
      </c>
      <c r="T12" s="204">
        <f t="shared" si="6"/>
        <v>7.9365079365079361E-2</v>
      </c>
      <c r="U12" s="204">
        <f t="shared" si="7"/>
        <v>0.7857142857142857</v>
      </c>
      <c r="V12" s="204">
        <f t="shared" si="8"/>
        <v>0.14285714285714285</v>
      </c>
      <c r="W12" s="204" t="e">
        <f t="shared" si="9"/>
        <v>#VALUE!</v>
      </c>
      <c r="X12" s="204">
        <f t="shared" si="10"/>
        <v>0.96250000000000002</v>
      </c>
      <c r="Y12" s="204">
        <f t="shared" si="11"/>
        <v>2.5000000000000001E-2</v>
      </c>
      <c r="Z12" s="204" t="e">
        <f t="shared" si="12"/>
        <v>#VALUE!</v>
      </c>
      <c r="AA12" s="204">
        <f t="shared" si="13"/>
        <v>0.50617283950617287</v>
      </c>
      <c r="AB12" s="204">
        <f t="shared" si="14"/>
        <v>0.35802469135802467</v>
      </c>
      <c r="AC12" s="204">
        <f t="shared" si="15"/>
        <v>0.14814814814814814</v>
      </c>
    </row>
    <row r="13" spans="1:32" ht="12.45" customHeight="1">
      <c r="A13" s="115" t="s">
        <v>211</v>
      </c>
      <c r="B13" s="105">
        <v>8928000</v>
      </c>
      <c r="C13" s="9">
        <v>5649000</v>
      </c>
      <c r="D13" s="9">
        <v>2122000</v>
      </c>
      <c r="E13" s="9">
        <v>1157000</v>
      </c>
      <c r="F13" s="9">
        <v>584000</v>
      </c>
      <c r="G13" s="9">
        <v>264000</v>
      </c>
      <c r="H13" s="9">
        <v>224000</v>
      </c>
      <c r="I13" s="9">
        <v>96000</v>
      </c>
      <c r="J13" s="9">
        <v>699000</v>
      </c>
      <c r="K13" s="9">
        <v>421000</v>
      </c>
      <c r="L13" s="9">
        <v>182000</v>
      </c>
      <c r="M13" s="9">
        <v>97000</v>
      </c>
      <c r="N13" s="9">
        <v>7644000</v>
      </c>
      <c r="O13" s="9">
        <v>4964000</v>
      </c>
      <c r="P13" s="9">
        <v>1716000</v>
      </c>
      <c r="Q13" s="9">
        <v>964000</v>
      </c>
      <c r="R13" s="204">
        <f t="shared" si="4"/>
        <v>0.63272849462365588</v>
      </c>
      <c r="S13" s="204">
        <f t="shared" si="5"/>
        <v>0.23767921146953405</v>
      </c>
      <c r="T13" s="204">
        <f t="shared" si="6"/>
        <v>0.12959229390681004</v>
      </c>
      <c r="U13" s="204">
        <f t="shared" si="7"/>
        <v>0.45205479452054792</v>
      </c>
      <c r="V13" s="204">
        <f t="shared" si="8"/>
        <v>0.38356164383561642</v>
      </c>
      <c r="W13" s="204">
        <f t="shared" si="9"/>
        <v>0.16438356164383561</v>
      </c>
      <c r="X13" s="204">
        <f t="shared" si="10"/>
        <v>0.60228898426323318</v>
      </c>
      <c r="Y13" s="204">
        <f t="shared" si="11"/>
        <v>0.2603719599427754</v>
      </c>
      <c r="Z13" s="204">
        <f t="shared" si="12"/>
        <v>0.13876967095851217</v>
      </c>
      <c r="AA13" s="204">
        <f t="shared" si="13"/>
        <v>0.64939822082679222</v>
      </c>
      <c r="AB13" s="204">
        <f t="shared" si="14"/>
        <v>0.22448979591836735</v>
      </c>
      <c r="AC13" s="204">
        <f t="shared" si="15"/>
        <v>0.12611198325484041</v>
      </c>
    </row>
    <row r="14" spans="1:32" ht="12.45" customHeight="1">
      <c r="A14" s="116" t="s">
        <v>212</v>
      </c>
      <c r="B14" s="105">
        <v>3311000</v>
      </c>
      <c r="C14" s="9">
        <v>1767000</v>
      </c>
      <c r="D14" s="9">
        <v>1135000</v>
      </c>
      <c r="E14" s="9">
        <v>409000</v>
      </c>
      <c r="F14" s="9">
        <v>349000</v>
      </c>
      <c r="G14" s="9">
        <v>139000</v>
      </c>
      <c r="H14" s="9">
        <v>169000</v>
      </c>
      <c r="I14" s="9">
        <v>41000</v>
      </c>
      <c r="J14" s="9">
        <v>262000</v>
      </c>
      <c r="K14" s="9">
        <v>125000</v>
      </c>
      <c r="L14" s="9">
        <v>94000</v>
      </c>
      <c r="M14" s="9">
        <v>44000</v>
      </c>
      <c r="N14" s="9">
        <v>2700000</v>
      </c>
      <c r="O14" s="9">
        <v>1503000</v>
      </c>
      <c r="P14" s="9">
        <v>872000</v>
      </c>
      <c r="Q14" s="9">
        <v>325000</v>
      </c>
      <c r="R14" s="204">
        <f t="shared" si="4"/>
        <v>0.53367562669888247</v>
      </c>
      <c r="S14" s="204">
        <f t="shared" si="5"/>
        <v>0.34279673814557537</v>
      </c>
      <c r="T14" s="204">
        <f t="shared" si="6"/>
        <v>0.12352763515554213</v>
      </c>
      <c r="U14" s="204">
        <f t="shared" si="7"/>
        <v>0.39828080229226359</v>
      </c>
      <c r="V14" s="204">
        <f t="shared" si="8"/>
        <v>0.48424068767908307</v>
      </c>
      <c r="W14" s="204">
        <f t="shared" si="9"/>
        <v>0.1174785100286533</v>
      </c>
      <c r="X14" s="204">
        <f t="shared" si="10"/>
        <v>0.47709923664122139</v>
      </c>
      <c r="Y14" s="204">
        <f t="shared" si="11"/>
        <v>0.35877862595419846</v>
      </c>
      <c r="Z14" s="204">
        <f t="shared" si="12"/>
        <v>0.16793893129770993</v>
      </c>
      <c r="AA14" s="204">
        <f t="shared" si="13"/>
        <v>0.55666666666666664</v>
      </c>
      <c r="AB14" s="204">
        <f t="shared" si="14"/>
        <v>0.32296296296296295</v>
      </c>
      <c r="AC14" s="204">
        <f t="shared" si="15"/>
        <v>0.12037037037037036</v>
      </c>
    </row>
    <row r="15" spans="1:32" ht="12.45" customHeight="1">
      <c r="A15" s="153" t="s">
        <v>213</v>
      </c>
      <c r="B15" s="105">
        <v>2888000</v>
      </c>
      <c r="C15" s="9">
        <v>2233000</v>
      </c>
      <c r="D15" s="9">
        <v>396000</v>
      </c>
      <c r="E15" s="9">
        <v>259000</v>
      </c>
      <c r="F15" s="9">
        <v>53000</v>
      </c>
      <c r="G15" s="9">
        <v>34000</v>
      </c>
      <c r="H15" s="9">
        <v>13000</v>
      </c>
      <c r="I15" s="9">
        <v>6000</v>
      </c>
      <c r="J15" s="9">
        <v>285000</v>
      </c>
      <c r="K15" s="9">
        <v>236000</v>
      </c>
      <c r="L15" s="9">
        <v>41000</v>
      </c>
      <c r="M15" s="9">
        <v>8000</v>
      </c>
      <c r="N15" s="9">
        <v>2550000</v>
      </c>
      <c r="O15" s="9">
        <v>1963000</v>
      </c>
      <c r="P15" s="9">
        <v>343000</v>
      </c>
      <c r="Q15" s="9">
        <v>244000</v>
      </c>
      <c r="R15" s="204">
        <f t="shared" si="4"/>
        <v>0.77319944598337953</v>
      </c>
      <c r="S15" s="204">
        <f t="shared" si="5"/>
        <v>0.1371191135734072</v>
      </c>
      <c r="T15" s="204">
        <f t="shared" si="6"/>
        <v>8.9681440443213301E-2</v>
      </c>
      <c r="U15" s="204">
        <f t="shared" si="7"/>
        <v>0.64150943396226412</v>
      </c>
      <c r="V15" s="204">
        <f t="shared" si="8"/>
        <v>0.24528301886792453</v>
      </c>
      <c r="W15" s="204">
        <f t="shared" si="9"/>
        <v>0.11320754716981132</v>
      </c>
      <c r="X15" s="204">
        <f t="shared" si="10"/>
        <v>0.82807017543859651</v>
      </c>
      <c r="Y15" s="204">
        <f t="shared" si="11"/>
        <v>0.14385964912280702</v>
      </c>
      <c r="Z15" s="204">
        <f t="shared" si="12"/>
        <v>2.8070175438596492E-2</v>
      </c>
      <c r="AA15" s="204">
        <f t="shared" si="13"/>
        <v>0.76980392156862743</v>
      </c>
      <c r="AB15" s="204">
        <f t="shared" si="14"/>
        <v>0.13450980392156864</v>
      </c>
      <c r="AC15" s="204">
        <f t="shared" si="15"/>
        <v>9.5686274509803923E-2</v>
      </c>
    </row>
    <row r="16" spans="1:32" ht="12.45" customHeight="1">
      <c r="A16" s="116" t="s">
        <v>214</v>
      </c>
      <c r="B16" s="105">
        <v>841000</v>
      </c>
      <c r="C16" s="9">
        <v>611000</v>
      </c>
      <c r="D16" s="9">
        <v>111000</v>
      </c>
      <c r="E16" s="9">
        <v>118000</v>
      </c>
      <c r="F16" s="9">
        <v>39000</v>
      </c>
      <c r="G16" s="9">
        <v>15000</v>
      </c>
      <c r="H16" s="9">
        <v>4000</v>
      </c>
      <c r="I16" s="13" t="s">
        <v>191</v>
      </c>
      <c r="J16" s="9">
        <v>45000</v>
      </c>
      <c r="K16" s="9">
        <v>19000</v>
      </c>
      <c r="L16" s="9">
        <v>14000</v>
      </c>
      <c r="M16" s="9">
        <v>11000</v>
      </c>
      <c r="N16" s="9">
        <v>757000</v>
      </c>
      <c r="O16" s="9">
        <v>578000</v>
      </c>
      <c r="P16" s="9">
        <v>93000</v>
      </c>
      <c r="Q16" s="9">
        <v>86000</v>
      </c>
      <c r="R16" s="204">
        <f t="shared" si="4"/>
        <v>0.72651605231866823</v>
      </c>
      <c r="S16" s="204">
        <f t="shared" si="5"/>
        <v>0.13198573127229488</v>
      </c>
      <c r="T16" s="204">
        <f t="shared" si="6"/>
        <v>0.14030915576694411</v>
      </c>
      <c r="U16" s="204">
        <f t="shared" si="7"/>
        <v>0.38461538461538464</v>
      </c>
      <c r="V16" s="204">
        <f t="shared" si="8"/>
        <v>0.10256410256410256</v>
      </c>
      <c r="W16" s="204" t="e">
        <f t="shared" si="9"/>
        <v>#VALUE!</v>
      </c>
      <c r="X16" s="204">
        <f t="shared" si="10"/>
        <v>0.42222222222222222</v>
      </c>
      <c r="Y16" s="204">
        <f t="shared" si="11"/>
        <v>0.31111111111111112</v>
      </c>
      <c r="Z16" s="204">
        <f t="shared" si="12"/>
        <v>0.24444444444444444</v>
      </c>
      <c r="AA16" s="204">
        <f t="shared" si="13"/>
        <v>0.76354029062087181</v>
      </c>
      <c r="AB16" s="204">
        <f t="shared" si="14"/>
        <v>0.12285336856010567</v>
      </c>
      <c r="AC16" s="204">
        <f t="shared" si="15"/>
        <v>0.11360634081902246</v>
      </c>
    </row>
    <row r="17" spans="1:29" ht="12.45" customHeight="1">
      <c r="A17" s="116" t="s">
        <v>215</v>
      </c>
      <c r="B17" s="105">
        <v>210000</v>
      </c>
      <c r="C17" s="9">
        <v>108000</v>
      </c>
      <c r="D17" s="9">
        <v>71000</v>
      </c>
      <c r="E17" s="9">
        <v>31000</v>
      </c>
      <c r="F17" s="9">
        <v>17000</v>
      </c>
      <c r="G17" s="9">
        <v>6000</v>
      </c>
      <c r="H17" s="9">
        <v>6000</v>
      </c>
      <c r="I17" s="13" t="s">
        <v>191</v>
      </c>
      <c r="J17" s="9">
        <v>11000</v>
      </c>
      <c r="K17" s="13" t="s">
        <v>191</v>
      </c>
      <c r="L17" s="13" t="s">
        <v>191</v>
      </c>
      <c r="M17" s="13" t="s">
        <v>220</v>
      </c>
      <c r="N17" s="9">
        <v>183000</v>
      </c>
      <c r="O17" s="9">
        <v>98000</v>
      </c>
      <c r="P17" s="9">
        <v>63000</v>
      </c>
      <c r="Q17" s="9">
        <v>22000</v>
      </c>
      <c r="R17" s="204">
        <f t="shared" si="4"/>
        <v>0.51428571428571423</v>
      </c>
      <c r="S17" s="204">
        <f t="shared" si="5"/>
        <v>0.33809523809523812</v>
      </c>
      <c r="T17" s="204">
        <f t="shared" si="6"/>
        <v>0.14761904761904762</v>
      </c>
      <c r="U17" s="204">
        <f t="shared" si="7"/>
        <v>0.35294117647058826</v>
      </c>
      <c r="V17" s="204">
        <f t="shared" si="8"/>
        <v>0.35294117647058826</v>
      </c>
      <c r="W17" s="204" t="e">
        <f t="shared" si="9"/>
        <v>#VALUE!</v>
      </c>
      <c r="X17" s="204" t="e">
        <f t="shared" si="10"/>
        <v>#VALUE!</v>
      </c>
      <c r="Y17" s="204" t="e">
        <f t="shared" si="11"/>
        <v>#VALUE!</v>
      </c>
      <c r="Z17" s="204" t="e">
        <f t="shared" si="12"/>
        <v>#VALUE!</v>
      </c>
      <c r="AA17" s="204">
        <f t="shared" si="13"/>
        <v>0.53551912568306015</v>
      </c>
      <c r="AB17" s="204">
        <f t="shared" si="14"/>
        <v>0.34426229508196721</v>
      </c>
      <c r="AC17" s="204">
        <f t="shared" si="15"/>
        <v>0.12021857923497267</v>
      </c>
    </row>
    <row r="18" spans="1:29" ht="12.45" customHeight="1">
      <c r="A18" s="116" t="s">
        <v>216</v>
      </c>
      <c r="B18" s="105">
        <v>740000</v>
      </c>
      <c r="C18" s="9">
        <v>412000</v>
      </c>
      <c r="D18" s="9">
        <v>150000</v>
      </c>
      <c r="E18" s="9">
        <v>178000</v>
      </c>
      <c r="F18" s="9">
        <v>38000</v>
      </c>
      <c r="G18" s="9">
        <v>12000</v>
      </c>
      <c r="H18" s="9">
        <v>15000</v>
      </c>
      <c r="I18" s="9">
        <v>11000</v>
      </c>
      <c r="J18" s="9">
        <v>48000</v>
      </c>
      <c r="K18" s="9">
        <v>20000</v>
      </c>
      <c r="L18" s="13" t="s">
        <v>191</v>
      </c>
      <c r="M18" s="9">
        <v>22000</v>
      </c>
      <c r="N18" s="9">
        <v>654000</v>
      </c>
      <c r="O18" s="9">
        <v>380000</v>
      </c>
      <c r="P18" s="9">
        <v>129000</v>
      </c>
      <c r="Q18" s="9">
        <v>145000</v>
      </c>
      <c r="R18" s="204">
        <f t="shared" si="4"/>
        <v>0.55675675675675673</v>
      </c>
      <c r="S18" s="204">
        <f t="shared" si="5"/>
        <v>0.20270270270270271</v>
      </c>
      <c r="T18" s="204">
        <f t="shared" si="6"/>
        <v>0.24054054054054055</v>
      </c>
      <c r="U18" s="204">
        <f t="shared" si="7"/>
        <v>0.31578947368421051</v>
      </c>
      <c r="V18" s="204">
        <f t="shared" si="8"/>
        <v>0.39473684210526316</v>
      </c>
      <c r="W18" s="204">
        <f t="shared" si="9"/>
        <v>0.28947368421052633</v>
      </c>
      <c r="X18" s="204">
        <f t="shared" si="10"/>
        <v>0.41666666666666669</v>
      </c>
      <c r="Y18" s="204" t="e">
        <f t="shared" si="11"/>
        <v>#VALUE!</v>
      </c>
      <c r="Z18" s="204">
        <f t="shared" si="12"/>
        <v>0.45833333333333331</v>
      </c>
      <c r="AA18" s="204">
        <f t="shared" si="13"/>
        <v>0.58103975535168195</v>
      </c>
      <c r="AB18" s="204">
        <f t="shared" si="14"/>
        <v>0.19724770642201836</v>
      </c>
      <c r="AC18" s="204">
        <f t="shared" si="15"/>
        <v>0.22171253822629969</v>
      </c>
    </row>
    <row r="19" spans="1:29" ht="12.45" customHeight="1">
      <c r="A19" s="116" t="s">
        <v>217</v>
      </c>
      <c r="B19" s="105">
        <v>938000</v>
      </c>
      <c r="C19" s="9">
        <v>517000</v>
      </c>
      <c r="D19" s="9">
        <v>260000</v>
      </c>
      <c r="E19" s="9">
        <v>161000</v>
      </c>
      <c r="F19" s="9">
        <v>89000</v>
      </c>
      <c r="G19" s="9">
        <v>58000</v>
      </c>
      <c r="H19" s="9">
        <v>19000</v>
      </c>
      <c r="I19" s="9">
        <v>12000</v>
      </c>
      <c r="J19" s="9">
        <v>49000</v>
      </c>
      <c r="K19" s="9">
        <v>18000</v>
      </c>
      <c r="L19" s="9">
        <v>24000</v>
      </c>
      <c r="M19" s="13" t="s">
        <v>191</v>
      </c>
      <c r="N19" s="9">
        <v>800000</v>
      </c>
      <c r="O19" s="9">
        <v>442000</v>
      </c>
      <c r="P19" s="9">
        <v>217000</v>
      </c>
      <c r="Q19" s="9">
        <v>141000</v>
      </c>
      <c r="R19" s="204">
        <f t="shared" si="4"/>
        <v>0.55117270788912576</v>
      </c>
      <c r="S19" s="204">
        <f t="shared" si="5"/>
        <v>0.27718550106609807</v>
      </c>
      <c r="T19" s="204">
        <f t="shared" si="6"/>
        <v>0.17164179104477612</v>
      </c>
      <c r="U19" s="204">
        <f t="shared" si="7"/>
        <v>0.651685393258427</v>
      </c>
      <c r="V19" s="204">
        <f t="shared" si="8"/>
        <v>0.21348314606741572</v>
      </c>
      <c r="W19" s="204">
        <f t="shared" si="9"/>
        <v>0.1348314606741573</v>
      </c>
      <c r="X19" s="204">
        <f t="shared" si="10"/>
        <v>0.36734693877551022</v>
      </c>
      <c r="Y19" s="204">
        <f t="shared" si="11"/>
        <v>0.48979591836734693</v>
      </c>
      <c r="Z19" s="204" t="e">
        <f t="shared" si="12"/>
        <v>#VALUE!</v>
      </c>
      <c r="AA19" s="204">
        <f t="shared" si="13"/>
        <v>0.55249999999999999</v>
      </c>
      <c r="AB19" s="204">
        <f t="shared" si="14"/>
        <v>0.27124999999999999</v>
      </c>
      <c r="AC19" s="204">
        <f t="shared" si="15"/>
        <v>0.17624999999999999</v>
      </c>
    </row>
    <row r="20" spans="1:29" ht="12.45" customHeight="1">
      <c r="A20" s="135" t="s">
        <v>221</v>
      </c>
      <c r="B20" s="136">
        <v>2141000</v>
      </c>
      <c r="C20" s="137">
        <v>1707000</v>
      </c>
      <c r="D20" s="137">
        <v>320000</v>
      </c>
      <c r="E20" s="137">
        <v>114000</v>
      </c>
      <c r="F20" s="137">
        <v>962000</v>
      </c>
      <c r="G20" s="137">
        <v>823000</v>
      </c>
      <c r="H20" s="137">
        <v>124000</v>
      </c>
      <c r="I20" s="137">
        <v>15000</v>
      </c>
      <c r="J20" s="137">
        <v>374000</v>
      </c>
      <c r="K20" s="137">
        <v>309000</v>
      </c>
      <c r="L20" s="137">
        <v>53000</v>
      </c>
      <c r="M20" s="137">
        <v>11000</v>
      </c>
      <c r="N20" s="137">
        <v>805000</v>
      </c>
      <c r="O20" s="137">
        <v>574000</v>
      </c>
      <c r="P20" s="137">
        <v>143000</v>
      </c>
      <c r="Q20" s="137">
        <v>88000</v>
      </c>
      <c r="R20" s="204">
        <f t="shared" si="4"/>
        <v>0.7972909855207847</v>
      </c>
      <c r="S20" s="204">
        <f t="shared" si="5"/>
        <v>0.14946286781877627</v>
      </c>
      <c r="T20" s="204">
        <f t="shared" si="6"/>
        <v>5.3246146660439045E-2</v>
      </c>
      <c r="U20" s="204">
        <f t="shared" si="7"/>
        <v>0.85550935550935547</v>
      </c>
      <c r="V20" s="204">
        <f t="shared" si="8"/>
        <v>0.12889812889812891</v>
      </c>
      <c r="W20" s="204">
        <f t="shared" si="9"/>
        <v>1.5592515592515593E-2</v>
      </c>
      <c r="X20" s="204">
        <f t="shared" si="10"/>
        <v>0.8262032085561497</v>
      </c>
      <c r="Y20" s="204">
        <f t="shared" si="11"/>
        <v>0.14171122994652408</v>
      </c>
      <c r="Z20" s="204">
        <f t="shared" si="12"/>
        <v>2.9411764705882353E-2</v>
      </c>
      <c r="AA20" s="204">
        <f t="shared" si="13"/>
        <v>0.71304347826086956</v>
      </c>
      <c r="AB20" s="204">
        <f t="shared" si="14"/>
        <v>0.17763975155279504</v>
      </c>
      <c r="AC20" s="204">
        <f t="shared" si="15"/>
        <v>0.1093167701863354</v>
      </c>
    </row>
    <row r="21" spans="1:29" ht="12.45" customHeight="1">
      <c r="A21" s="138" t="s">
        <v>178</v>
      </c>
      <c r="B21" s="105">
        <v>1302000</v>
      </c>
      <c r="C21" s="9">
        <v>1030000</v>
      </c>
      <c r="D21" s="9">
        <v>217000</v>
      </c>
      <c r="E21" s="9">
        <v>56000</v>
      </c>
      <c r="F21" s="9">
        <v>861000</v>
      </c>
      <c r="G21" s="9">
        <v>735000</v>
      </c>
      <c r="H21" s="9">
        <v>113000</v>
      </c>
      <c r="I21" s="9">
        <v>12000</v>
      </c>
      <c r="J21" s="9">
        <v>157000</v>
      </c>
      <c r="K21" s="9">
        <v>116000</v>
      </c>
      <c r="L21" s="9">
        <v>34000</v>
      </c>
      <c r="M21" s="9">
        <v>7000</v>
      </c>
      <c r="N21" s="9">
        <v>285000</v>
      </c>
      <c r="O21" s="9">
        <v>179000</v>
      </c>
      <c r="P21" s="9">
        <v>69000</v>
      </c>
      <c r="Q21" s="9">
        <v>37000</v>
      </c>
      <c r="R21" s="204">
        <f t="shared" si="4"/>
        <v>0.7910906298003072</v>
      </c>
      <c r="S21" s="204">
        <f t="shared" si="5"/>
        <v>0.16666666666666666</v>
      </c>
      <c r="T21" s="204">
        <f t="shared" si="6"/>
        <v>4.3010752688172046E-2</v>
      </c>
      <c r="U21" s="204">
        <f t="shared" si="7"/>
        <v>0.85365853658536583</v>
      </c>
      <c r="V21" s="204">
        <f t="shared" si="8"/>
        <v>0.13124274099883856</v>
      </c>
      <c r="W21" s="204">
        <f t="shared" si="9"/>
        <v>1.3937282229965157E-2</v>
      </c>
      <c r="X21" s="204">
        <f t="shared" si="10"/>
        <v>0.73885350318471332</v>
      </c>
      <c r="Y21" s="204">
        <f t="shared" si="11"/>
        <v>0.21656050955414013</v>
      </c>
      <c r="Z21" s="204">
        <f t="shared" si="12"/>
        <v>4.4585987261146494E-2</v>
      </c>
      <c r="AA21" s="204">
        <f t="shared" si="13"/>
        <v>0.62807017543859645</v>
      </c>
      <c r="AB21" s="204">
        <f t="shared" si="14"/>
        <v>0.24210526315789474</v>
      </c>
      <c r="AC21" s="204">
        <f t="shared" si="15"/>
        <v>0.12982456140350876</v>
      </c>
    </row>
    <row r="22" spans="1:29" ht="12.45" customHeight="1">
      <c r="A22" s="154" t="s">
        <v>179</v>
      </c>
      <c r="B22" s="105">
        <v>380000</v>
      </c>
      <c r="C22" s="9">
        <v>309000</v>
      </c>
      <c r="D22" s="9">
        <v>59000</v>
      </c>
      <c r="E22" s="9">
        <v>12000</v>
      </c>
      <c r="F22" s="9">
        <v>240000</v>
      </c>
      <c r="G22" s="9">
        <v>210000</v>
      </c>
      <c r="H22" s="9">
        <v>28000</v>
      </c>
      <c r="I22" s="9">
        <v>2000</v>
      </c>
      <c r="J22" s="9">
        <v>74000</v>
      </c>
      <c r="K22" s="9">
        <v>56000</v>
      </c>
      <c r="L22" s="9">
        <v>13000</v>
      </c>
      <c r="M22" s="9">
        <v>5000</v>
      </c>
      <c r="N22" s="9">
        <v>66000</v>
      </c>
      <c r="O22" s="9">
        <v>43000</v>
      </c>
      <c r="P22" s="9">
        <v>18000</v>
      </c>
      <c r="Q22" s="9">
        <v>5000</v>
      </c>
      <c r="R22" s="204">
        <f t="shared" si="4"/>
        <v>0.81315789473684208</v>
      </c>
      <c r="S22" s="204">
        <f t="shared" si="5"/>
        <v>0.15526315789473685</v>
      </c>
      <c r="T22" s="204">
        <f t="shared" si="6"/>
        <v>3.1578947368421054E-2</v>
      </c>
      <c r="U22" s="204">
        <f t="shared" si="7"/>
        <v>0.875</v>
      </c>
      <c r="V22" s="204">
        <f t="shared" si="8"/>
        <v>0.11666666666666667</v>
      </c>
      <c r="W22" s="204">
        <f t="shared" si="9"/>
        <v>8.3333333333333332E-3</v>
      </c>
      <c r="X22" s="204">
        <f t="shared" si="10"/>
        <v>0.7567567567567568</v>
      </c>
      <c r="Y22" s="204">
        <f t="shared" si="11"/>
        <v>0.17567567567567569</v>
      </c>
      <c r="Z22" s="204">
        <f t="shared" si="12"/>
        <v>6.7567567567567571E-2</v>
      </c>
      <c r="AA22" s="204">
        <f t="shared" si="13"/>
        <v>0.65151515151515149</v>
      </c>
      <c r="AB22" s="204">
        <f t="shared" si="14"/>
        <v>0.27272727272727271</v>
      </c>
      <c r="AC22" s="204">
        <f t="shared" si="15"/>
        <v>7.575757575757576E-2</v>
      </c>
    </row>
    <row r="23" spans="1:29" ht="12.45" customHeight="1">
      <c r="A23" s="140" t="s">
        <v>180</v>
      </c>
      <c r="B23" s="105">
        <v>23000</v>
      </c>
      <c r="C23" s="9">
        <v>20000</v>
      </c>
      <c r="D23" s="9">
        <v>2000</v>
      </c>
      <c r="E23" s="13" t="s">
        <v>220</v>
      </c>
      <c r="F23" s="9">
        <v>14000</v>
      </c>
      <c r="G23" s="9">
        <v>13000</v>
      </c>
      <c r="H23" s="9">
        <v>1000</v>
      </c>
      <c r="I23" s="13" t="s">
        <v>220</v>
      </c>
      <c r="J23" s="9">
        <v>1000</v>
      </c>
      <c r="K23" s="9">
        <v>1000</v>
      </c>
      <c r="L23" s="13" t="s">
        <v>220</v>
      </c>
      <c r="M23" s="13" t="s">
        <v>220</v>
      </c>
      <c r="N23" s="9">
        <v>8000</v>
      </c>
      <c r="O23" s="13" t="s">
        <v>191</v>
      </c>
      <c r="P23" s="9">
        <v>1000</v>
      </c>
      <c r="Q23" s="13" t="s">
        <v>220</v>
      </c>
      <c r="R23" s="204">
        <f t="shared" si="4"/>
        <v>0.86956521739130432</v>
      </c>
      <c r="S23" s="204">
        <f t="shared" si="5"/>
        <v>8.6956521739130432E-2</v>
      </c>
      <c r="T23" s="204" t="e">
        <f t="shared" si="6"/>
        <v>#VALUE!</v>
      </c>
      <c r="U23" s="204">
        <f t="shared" si="7"/>
        <v>0.9285714285714286</v>
      </c>
      <c r="V23" s="204">
        <f t="shared" si="8"/>
        <v>7.1428571428571425E-2</v>
      </c>
      <c r="W23" s="204" t="e">
        <f t="shared" si="9"/>
        <v>#VALUE!</v>
      </c>
      <c r="X23" s="204">
        <f t="shared" si="10"/>
        <v>1</v>
      </c>
      <c r="Y23" s="204" t="e">
        <f t="shared" si="11"/>
        <v>#VALUE!</v>
      </c>
      <c r="Z23" s="204" t="e">
        <f t="shared" si="12"/>
        <v>#VALUE!</v>
      </c>
      <c r="AA23" s="204" t="e">
        <f t="shared" si="13"/>
        <v>#VALUE!</v>
      </c>
      <c r="AB23" s="204">
        <f t="shared" si="14"/>
        <v>0.125</v>
      </c>
      <c r="AC23" s="204" t="e">
        <f t="shared" si="15"/>
        <v>#VALUE!</v>
      </c>
    </row>
    <row r="24" spans="1:29" ht="12.45" customHeight="1">
      <c r="A24" s="140" t="s">
        <v>181</v>
      </c>
      <c r="B24" s="105">
        <v>350000</v>
      </c>
      <c r="C24" s="9">
        <v>283000</v>
      </c>
      <c r="D24" s="9">
        <v>56000</v>
      </c>
      <c r="E24" s="9">
        <v>11000</v>
      </c>
      <c r="F24" s="9">
        <v>221000</v>
      </c>
      <c r="G24" s="9">
        <v>192000</v>
      </c>
      <c r="H24" s="9">
        <v>27000</v>
      </c>
      <c r="I24" s="9">
        <v>2000</v>
      </c>
      <c r="J24" s="9">
        <v>72000</v>
      </c>
      <c r="K24" s="9">
        <v>55000</v>
      </c>
      <c r="L24" s="9">
        <v>13000</v>
      </c>
      <c r="M24" s="9">
        <v>4000</v>
      </c>
      <c r="N24" s="9">
        <v>56000</v>
      </c>
      <c r="O24" s="9">
        <v>37000</v>
      </c>
      <c r="P24" s="9">
        <v>16000</v>
      </c>
      <c r="Q24" s="9">
        <v>4000</v>
      </c>
      <c r="R24" s="204">
        <f t="shared" si="4"/>
        <v>0.80857142857142861</v>
      </c>
      <c r="S24" s="204">
        <f t="shared" si="5"/>
        <v>0.16</v>
      </c>
      <c r="T24" s="204">
        <f t="shared" si="6"/>
        <v>3.1428571428571431E-2</v>
      </c>
      <c r="U24" s="204">
        <f t="shared" si="7"/>
        <v>0.86877828054298645</v>
      </c>
      <c r="V24" s="204">
        <f t="shared" si="8"/>
        <v>0.12217194570135746</v>
      </c>
      <c r="W24" s="204">
        <f t="shared" si="9"/>
        <v>9.0497737556561094E-3</v>
      </c>
      <c r="X24" s="204">
        <f t="shared" si="10"/>
        <v>0.76388888888888884</v>
      </c>
      <c r="Y24" s="204">
        <f t="shared" si="11"/>
        <v>0.18055555555555555</v>
      </c>
      <c r="Z24" s="204">
        <f t="shared" si="12"/>
        <v>5.5555555555555552E-2</v>
      </c>
      <c r="AA24" s="204">
        <f t="shared" si="13"/>
        <v>0.6607142857142857</v>
      </c>
      <c r="AB24" s="204">
        <f t="shared" si="14"/>
        <v>0.2857142857142857</v>
      </c>
      <c r="AC24" s="204">
        <f t="shared" si="15"/>
        <v>7.1428571428571425E-2</v>
      </c>
    </row>
    <row r="25" spans="1:29" ht="12.45" customHeight="1">
      <c r="A25" s="140" t="s">
        <v>182</v>
      </c>
      <c r="B25" s="105">
        <v>7000</v>
      </c>
      <c r="C25" s="9">
        <v>6000</v>
      </c>
      <c r="D25" s="13" t="s">
        <v>191</v>
      </c>
      <c r="E25" s="13" t="s">
        <v>220</v>
      </c>
      <c r="F25" s="9">
        <v>5000</v>
      </c>
      <c r="G25" s="9">
        <v>5000</v>
      </c>
      <c r="H25" s="13" t="s">
        <v>220</v>
      </c>
      <c r="I25" s="13" t="s">
        <v>220</v>
      </c>
      <c r="J25" s="13" t="s">
        <v>222</v>
      </c>
      <c r="K25" s="13" t="s">
        <v>220</v>
      </c>
      <c r="L25" s="13" t="s">
        <v>220</v>
      </c>
      <c r="M25" s="13" t="s">
        <v>220</v>
      </c>
      <c r="N25" s="13" t="s">
        <v>191</v>
      </c>
      <c r="O25" s="13" t="s">
        <v>191</v>
      </c>
      <c r="P25" s="13" t="s">
        <v>220</v>
      </c>
      <c r="Q25" s="13" t="s">
        <v>220</v>
      </c>
      <c r="R25" s="204">
        <f t="shared" si="4"/>
        <v>0.8571428571428571</v>
      </c>
      <c r="S25" s="204" t="e">
        <f t="shared" si="5"/>
        <v>#VALUE!</v>
      </c>
      <c r="T25" s="204" t="e">
        <f t="shared" si="6"/>
        <v>#VALUE!</v>
      </c>
      <c r="U25" s="204">
        <f t="shared" si="7"/>
        <v>1</v>
      </c>
      <c r="V25" s="204" t="e">
        <f t="shared" si="8"/>
        <v>#VALUE!</v>
      </c>
      <c r="W25" s="204" t="e">
        <f t="shared" si="9"/>
        <v>#VALUE!</v>
      </c>
      <c r="X25" s="204" t="e">
        <f t="shared" si="10"/>
        <v>#VALUE!</v>
      </c>
      <c r="Y25" s="204" t="e">
        <f t="shared" si="11"/>
        <v>#VALUE!</v>
      </c>
      <c r="Z25" s="204" t="e">
        <f t="shared" si="12"/>
        <v>#VALUE!</v>
      </c>
      <c r="AA25" s="204" t="e">
        <f t="shared" si="13"/>
        <v>#VALUE!</v>
      </c>
      <c r="AB25" s="204" t="e">
        <f t="shared" si="14"/>
        <v>#VALUE!</v>
      </c>
      <c r="AC25" s="204" t="e">
        <f t="shared" si="15"/>
        <v>#VALUE!</v>
      </c>
    </row>
    <row r="26" spans="1:29" ht="12.45" customHeight="1">
      <c r="A26" s="139" t="s">
        <v>183</v>
      </c>
      <c r="B26" s="105">
        <v>127000</v>
      </c>
      <c r="C26" s="9">
        <v>104000</v>
      </c>
      <c r="D26" s="9">
        <v>20000</v>
      </c>
      <c r="E26" s="9">
        <v>2000</v>
      </c>
      <c r="F26" s="9">
        <v>98000</v>
      </c>
      <c r="G26" s="9">
        <v>81000</v>
      </c>
      <c r="H26" s="9">
        <v>15000</v>
      </c>
      <c r="I26" s="9">
        <v>2000</v>
      </c>
      <c r="J26" s="9">
        <v>10000</v>
      </c>
      <c r="K26" s="9">
        <v>8000</v>
      </c>
      <c r="L26" s="13" t="s">
        <v>191</v>
      </c>
      <c r="M26" s="13" t="s">
        <v>220</v>
      </c>
      <c r="N26" s="9">
        <v>19000</v>
      </c>
      <c r="O26" s="9">
        <v>14000</v>
      </c>
      <c r="P26" s="9">
        <v>4000</v>
      </c>
      <c r="Q26" s="13" t="s">
        <v>222</v>
      </c>
      <c r="R26" s="204">
        <f t="shared" si="4"/>
        <v>0.81889763779527558</v>
      </c>
      <c r="S26" s="204">
        <f t="shared" si="5"/>
        <v>0.15748031496062992</v>
      </c>
      <c r="T26" s="204">
        <f t="shared" si="6"/>
        <v>1.5748031496062992E-2</v>
      </c>
      <c r="U26" s="204">
        <f t="shared" si="7"/>
        <v>0.82653061224489799</v>
      </c>
      <c r="V26" s="204">
        <f t="shared" si="8"/>
        <v>0.15306122448979592</v>
      </c>
      <c r="W26" s="204">
        <f t="shared" si="9"/>
        <v>2.0408163265306121E-2</v>
      </c>
      <c r="X26" s="204">
        <f t="shared" si="10"/>
        <v>0.8</v>
      </c>
      <c r="Y26" s="204" t="e">
        <f t="shared" si="11"/>
        <v>#VALUE!</v>
      </c>
      <c r="Z26" s="204" t="e">
        <f t="shared" si="12"/>
        <v>#VALUE!</v>
      </c>
      <c r="AA26" s="204">
        <f t="shared" si="13"/>
        <v>0.73684210526315785</v>
      </c>
      <c r="AB26" s="204">
        <f t="shared" si="14"/>
        <v>0.21052631578947367</v>
      </c>
      <c r="AC26" s="204" t="e">
        <f t="shared" si="15"/>
        <v>#VALUE!</v>
      </c>
    </row>
    <row r="27" spans="1:29" ht="12.45" customHeight="1">
      <c r="A27" s="140" t="s">
        <v>184</v>
      </c>
      <c r="B27" s="105">
        <v>68000</v>
      </c>
      <c r="C27" s="9">
        <v>58000</v>
      </c>
      <c r="D27" s="9">
        <v>10000</v>
      </c>
      <c r="E27" s="13" t="s">
        <v>220</v>
      </c>
      <c r="F27" s="9">
        <v>51000</v>
      </c>
      <c r="G27" s="9">
        <v>44000</v>
      </c>
      <c r="H27" s="9">
        <v>7000</v>
      </c>
      <c r="I27" s="13" t="s">
        <v>220</v>
      </c>
      <c r="J27" s="9">
        <v>7000</v>
      </c>
      <c r="K27" s="9">
        <v>7000</v>
      </c>
      <c r="L27" s="13" t="s">
        <v>220</v>
      </c>
      <c r="M27" s="13" t="s">
        <v>220</v>
      </c>
      <c r="N27" s="9">
        <v>10000</v>
      </c>
      <c r="O27" s="9">
        <v>7000</v>
      </c>
      <c r="P27" s="9">
        <v>2000</v>
      </c>
      <c r="Q27" s="13" t="s">
        <v>220</v>
      </c>
      <c r="R27" s="204">
        <f t="shared" si="4"/>
        <v>0.8529411764705882</v>
      </c>
      <c r="S27" s="204">
        <f t="shared" si="5"/>
        <v>0.14705882352941177</v>
      </c>
      <c r="T27" s="204" t="e">
        <f t="shared" si="6"/>
        <v>#VALUE!</v>
      </c>
      <c r="U27" s="204">
        <f t="shared" si="7"/>
        <v>0.86274509803921573</v>
      </c>
      <c r="V27" s="204">
        <f t="shared" si="8"/>
        <v>0.13725490196078433</v>
      </c>
      <c r="W27" s="204" t="e">
        <f t="shared" si="9"/>
        <v>#VALUE!</v>
      </c>
      <c r="X27" s="204">
        <f t="shared" si="10"/>
        <v>1</v>
      </c>
      <c r="Y27" s="204" t="e">
        <f t="shared" si="11"/>
        <v>#VALUE!</v>
      </c>
      <c r="Z27" s="204" t="e">
        <f t="shared" si="12"/>
        <v>#VALUE!</v>
      </c>
      <c r="AA27" s="204">
        <f t="shared" si="13"/>
        <v>0.7</v>
      </c>
      <c r="AB27" s="204">
        <f t="shared" si="14"/>
        <v>0.2</v>
      </c>
      <c r="AC27" s="204" t="e">
        <f t="shared" si="15"/>
        <v>#VALUE!</v>
      </c>
    </row>
    <row r="28" spans="1:29" ht="12.45" customHeight="1">
      <c r="A28" s="140" t="s">
        <v>185</v>
      </c>
      <c r="B28" s="105">
        <v>59000</v>
      </c>
      <c r="C28" s="9">
        <v>46000</v>
      </c>
      <c r="D28" s="9">
        <v>11000</v>
      </c>
      <c r="E28" s="9">
        <v>2000</v>
      </c>
      <c r="F28" s="9">
        <v>47000</v>
      </c>
      <c r="G28" s="9">
        <v>37000</v>
      </c>
      <c r="H28" s="9">
        <v>8000</v>
      </c>
      <c r="I28" s="9">
        <v>1000</v>
      </c>
      <c r="J28" s="9">
        <v>3000</v>
      </c>
      <c r="K28" s="9">
        <v>2000</v>
      </c>
      <c r="L28" s="13" t="s">
        <v>191</v>
      </c>
      <c r="M28" s="13" t="s">
        <v>220</v>
      </c>
      <c r="N28" s="9">
        <v>9000</v>
      </c>
      <c r="O28" s="9">
        <v>7000</v>
      </c>
      <c r="P28" s="9">
        <v>2000</v>
      </c>
      <c r="Q28" s="13" t="s">
        <v>220</v>
      </c>
      <c r="R28" s="204">
        <f t="shared" si="4"/>
        <v>0.77966101694915257</v>
      </c>
      <c r="S28" s="204">
        <f t="shared" si="5"/>
        <v>0.1864406779661017</v>
      </c>
      <c r="T28" s="204">
        <f t="shared" si="6"/>
        <v>3.3898305084745763E-2</v>
      </c>
      <c r="U28" s="204">
        <f t="shared" si="7"/>
        <v>0.78723404255319152</v>
      </c>
      <c r="V28" s="204">
        <f t="shared" si="8"/>
        <v>0.1702127659574468</v>
      </c>
      <c r="W28" s="204">
        <f t="shared" si="9"/>
        <v>2.1276595744680851E-2</v>
      </c>
      <c r="X28" s="204">
        <f t="shared" si="10"/>
        <v>0.66666666666666663</v>
      </c>
      <c r="Y28" s="204" t="e">
        <f t="shared" si="11"/>
        <v>#VALUE!</v>
      </c>
      <c r="Z28" s="204" t="e">
        <f t="shared" si="12"/>
        <v>#VALUE!</v>
      </c>
      <c r="AA28" s="204">
        <f t="shared" si="13"/>
        <v>0.77777777777777779</v>
      </c>
      <c r="AB28" s="204">
        <f t="shared" si="14"/>
        <v>0.22222222222222221</v>
      </c>
      <c r="AC28" s="204" t="e">
        <f t="shared" si="15"/>
        <v>#VALUE!</v>
      </c>
    </row>
    <row r="29" spans="1:29" ht="12.45" customHeight="1">
      <c r="A29" s="139" t="s">
        <v>186</v>
      </c>
      <c r="B29" s="105">
        <v>215000</v>
      </c>
      <c r="C29" s="9">
        <v>151000</v>
      </c>
      <c r="D29" s="9">
        <v>46000</v>
      </c>
      <c r="E29" s="9">
        <v>17000</v>
      </c>
      <c r="F29" s="9">
        <v>155000</v>
      </c>
      <c r="G29" s="9">
        <v>119000</v>
      </c>
      <c r="H29" s="9">
        <v>31000</v>
      </c>
      <c r="I29" s="9">
        <v>5000</v>
      </c>
      <c r="J29" s="9">
        <v>20000</v>
      </c>
      <c r="K29" s="9">
        <v>14000</v>
      </c>
      <c r="L29" s="9">
        <v>5000</v>
      </c>
      <c r="M29" s="9">
        <v>1000</v>
      </c>
      <c r="N29" s="9">
        <v>40000</v>
      </c>
      <c r="O29" s="9">
        <v>18000</v>
      </c>
      <c r="P29" s="9">
        <v>10000</v>
      </c>
      <c r="Q29" s="9">
        <v>11000</v>
      </c>
      <c r="R29" s="204">
        <f t="shared" si="4"/>
        <v>0.70232558139534884</v>
      </c>
      <c r="S29" s="204">
        <f t="shared" si="5"/>
        <v>0.21395348837209302</v>
      </c>
      <c r="T29" s="204">
        <f t="shared" si="6"/>
        <v>7.9069767441860464E-2</v>
      </c>
      <c r="U29" s="204">
        <f t="shared" si="7"/>
        <v>0.76774193548387093</v>
      </c>
      <c r="V29" s="204">
        <f t="shared" si="8"/>
        <v>0.2</v>
      </c>
      <c r="W29" s="204">
        <f t="shared" si="9"/>
        <v>3.2258064516129031E-2</v>
      </c>
      <c r="X29" s="204">
        <f t="shared" si="10"/>
        <v>0.7</v>
      </c>
      <c r="Y29" s="204">
        <f t="shared" si="11"/>
        <v>0.25</v>
      </c>
      <c r="Z29" s="204">
        <f t="shared" si="12"/>
        <v>0.05</v>
      </c>
      <c r="AA29" s="204">
        <f t="shared" si="13"/>
        <v>0.45</v>
      </c>
      <c r="AB29" s="204">
        <f t="shared" si="14"/>
        <v>0.25</v>
      </c>
      <c r="AC29" s="204">
        <f t="shared" si="15"/>
        <v>0.27500000000000002</v>
      </c>
    </row>
    <row r="30" spans="1:29" ht="12.45" customHeight="1">
      <c r="A30" s="140" t="s">
        <v>187</v>
      </c>
      <c r="B30" s="105">
        <v>97000</v>
      </c>
      <c r="C30" s="9">
        <v>73000</v>
      </c>
      <c r="D30" s="9">
        <v>18000</v>
      </c>
      <c r="E30" s="9">
        <v>7000</v>
      </c>
      <c r="F30" s="9">
        <v>68000</v>
      </c>
      <c r="G30" s="9">
        <v>54000</v>
      </c>
      <c r="H30" s="9">
        <v>12000</v>
      </c>
      <c r="I30" s="9">
        <v>2000</v>
      </c>
      <c r="J30" s="9">
        <v>9000</v>
      </c>
      <c r="K30" s="9">
        <v>8000</v>
      </c>
      <c r="L30" s="9">
        <v>1000</v>
      </c>
      <c r="M30" s="13" t="s">
        <v>220</v>
      </c>
      <c r="N30" s="9">
        <v>21000</v>
      </c>
      <c r="O30" s="9">
        <v>11000</v>
      </c>
      <c r="P30" s="9">
        <v>5000</v>
      </c>
      <c r="Q30" s="9">
        <v>5000</v>
      </c>
      <c r="R30" s="204">
        <f t="shared" si="4"/>
        <v>0.75257731958762886</v>
      </c>
      <c r="S30" s="204">
        <f t="shared" si="5"/>
        <v>0.18556701030927836</v>
      </c>
      <c r="T30" s="204">
        <f t="shared" si="6"/>
        <v>7.2164948453608241E-2</v>
      </c>
      <c r="U30" s="204">
        <f t="shared" si="7"/>
        <v>0.79411764705882348</v>
      </c>
      <c r="V30" s="204">
        <f t="shared" si="8"/>
        <v>0.17647058823529413</v>
      </c>
      <c r="W30" s="204">
        <f t="shared" si="9"/>
        <v>2.9411764705882353E-2</v>
      </c>
      <c r="X30" s="204">
        <f t="shared" si="10"/>
        <v>0.88888888888888884</v>
      </c>
      <c r="Y30" s="204">
        <f t="shared" si="11"/>
        <v>0.1111111111111111</v>
      </c>
      <c r="Z30" s="204" t="e">
        <f t="shared" si="12"/>
        <v>#VALUE!</v>
      </c>
      <c r="AA30" s="204">
        <f t="shared" si="13"/>
        <v>0.52380952380952384</v>
      </c>
      <c r="AB30" s="204">
        <f t="shared" si="14"/>
        <v>0.23809523809523808</v>
      </c>
      <c r="AC30" s="204">
        <f t="shared" si="15"/>
        <v>0.23809523809523808</v>
      </c>
    </row>
    <row r="31" spans="1:29" ht="12.45" customHeight="1">
      <c r="A31" s="140" t="s">
        <v>188</v>
      </c>
      <c r="B31" s="105">
        <v>33000</v>
      </c>
      <c r="C31" s="9">
        <v>25000</v>
      </c>
      <c r="D31" s="9">
        <v>6000</v>
      </c>
      <c r="E31" s="9">
        <v>1000</v>
      </c>
      <c r="F31" s="9">
        <v>27000</v>
      </c>
      <c r="G31" s="9">
        <v>23000</v>
      </c>
      <c r="H31" s="9">
        <v>4000</v>
      </c>
      <c r="I31" s="13" t="s">
        <v>220</v>
      </c>
      <c r="J31" s="13" t="s">
        <v>191</v>
      </c>
      <c r="K31" s="13" t="s">
        <v>220</v>
      </c>
      <c r="L31" s="13" t="s">
        <v>220</v>
      </c>
      <c r="M31" s="13" t="s">
        <v>220</v>
      </c>
      <c r="N31" s="9">
        <v>4000</v>
      </c>
      <c r="O31" s="9">
        <v>2000</v>
      </c>
      <c r="P31" s="13" t="s">
        <v>191</v>
      </c>
      <c r="Q31" s="9">
        <v>1000</v>
      </c>
      <c r="R31" s="204">
        <f t="shared" si="4"/>
        <v>0.75757575757575757</v>
      </c>
      <c r="S31" s="204">
        <f t="shared" si="5"/>
        <v>0.18181818181818182</v>
      </c>
      <c r="T31" s="204">
        <f t="shared" si="6"/>
        <v>3.0303030303030304E-2</v>
      </c>
      <c r="U31" s="204">
        <f t="shared" si="7"/>
        <v>0.85185185185185186</v>
      </c>
      <c r="V31" s="204">
        <f t="shared" si="8"/>
        <v>0.14814814814814814</v>
      </c>
      <c r="W31" s="204" t="e">
        <f t="shared" si="9"/>
        <v>#VALUE!</v>
      </c>
      <c r="X31" s="204" t="e">
        <f t="shared" si="10"/>
        <v>#VALUE!</v>
      </c>
      <c r="Y31" s="204" t="e">
        <f t="shared" si="11"/>
        <v>#VALUE!</v>
      </c>
      <c r="Z31" s="204" t="e">
        <f t="shared" si="12"/>
        <v>#VALUE!</v>
      </c>
      <c r="AA31" s="204">
        <f t="shared" si="13"/>
        <v>0.5</v>
      </c>
      <c r="AB31" s="204" t="e">
        <f t="shared" si="14"/>
        <v>#VALUE!</v>
      </c>
      <c r="AC31" s="204">
        <f t="shared" si="15"/>
        <v>0.25</v>
      </c>
    </row>
    <row r="32" spans="1:29" ht="12.45" customHeight="1">
      <c r="A32" s="140" t="s">
        <v>189</v>
      </c>
      <c r="B32" s="105">
        <v>82000</v>
      </c>
      <c r="C32" s="9">
        <v>51000</v>
      </c>
      <c r="D32" s="9">
        <v>22000</v>
      </c>
      <c r="E32" s="9">
        <v>9000</v>
      </c>
      <c r="F32" s="9">
        <v>59000</v>
      </c>
      <c r="G32" s="9">
        <v>41000</v>
      </c>
      <c r="H32" s="9">
        <v>15000</v>
      </c>
      <c r="I32" s="9">
        <v>3000</v>
      </c>
      <c r="J32" s="9">
        <v>9000</v>
      </c>
      <c r="K32" s="9">
        <v>5000</v>
      </c>
      <c r="L32" s="9">
        <v>3000</v>
      </c>
      <c r="M32" s="13" t="s">
        <v>220</v>
      </c>
      <c r="N32" s="9">
        <v>15000</v>
      </c>
      <c r="O32" s="9">
        <v>5000</v>
      </c>
      <c r="P32" s="9">
        <v>4000</v>
      </c>
      <c r="Q32" s="9">
        <v>6000</v>
      </c>
      <c r="R32" s="204">
        <f t="shared" si="4"/>
        <v>0.62195121951219512</v>
      </c>
      <c r="S32" s="204">
        <f t="shared" si="5"/>
        <v>0.26829268292682928</v>
      </c>
      <c r="T32" s="204">
        <f t="shared" si="6"/>
        <v>0.10975609756097561</v>
      </c>
      <c r="U32" s="204">
        <f t="shared" si="7"/>
        <v>0.69491525423728817</v>
      </c>
      <c r="V32" s="204">
        <f t="shared" si="8"/>
        <v>0.25423728813559321</v>
      </c>
      <c r="W32" s="204">
        <f t="shared" si="9"/>
        <v>5.0847457627118647E-2</v>
      </c>
      <c r="X32" s="204">
        <f t="shared" si="10"/>
        <v>0.55555555555555558</v>
      </c>
      <c r="Y32" s="204">
        <f t="shared" si="11"/>
        <v>0.33333333333333331</v>
      </c>
      <c r="Z32" s="204" t="e">
        <f t="shared" si="12"/>
        <v>#VALUE!</v>
      </c>
      <c r="AA32" s="204">
        <f t="shared" si="13"/>
        <v>0.33333333333333331</v>
      </c>
      <c r="AB32" s="204">
        <f t="shared" si="14"/>
        <v>0.26666666666666666</v>
      </c>
      <c r="AC32" s="204">
        <f t="shared" si="15"/>
        <v>0.4</v>
      </c>
    </row>
    <row r="33" spans="1:29" ht="12.45" customHeight="1">
      <c r="A33" s="140" t="s">
        <v>190</v>
      </c>
      <c r="B33" s="105">
        <v>2000</v>
      </c>
      <c r="C33" s="9">
        <v>2000</v>
      </c>
      <c r="D33" s="13" t="s">
        <v>220</v>
      </c>
      <c r="E33" s="13" t="s">
        <v>220</v>
      </c>
      <c r="F33" s="9">
        <v>1000</v>
      </c>
      <c r="G33" s="9">
        <v>1000</v>
      </c>
      <c r="H33" s="13" t="s">
        <v>220</v>
      </c>
      <c r="I33" s="13" t="s">
        <v>220</v>
      </c>
      <c r="J33" s="13" t="s">
        <v>220</v>
      </c>
      <c r="K33" s="13" t="s">
        <v>220</v>
      </c>
      <c r="L33" s="13" t="s">
        <v>220</v>
      </c>
      <c r="M33" s="13" t="s">
        <v>220</v>
      </c>
      <c r="N33" s="13" t="s">
        <v>220</v>
      </c>
      <c r="O33" s="13" t="s">
        <v>220</v>
      </c>
      <c r="P33" s="13" t="s">
        <v>220</v>
      </c>
      <c r="Q33" s="13" t="s">
        <v>220</v>
      </c>
      <c r="R33" s="204">
        <f t="shared" si="4"/>
        <v>1</v>
      </c>
      <c r="S33" s="204" t="e">
        <f t="shared" si="5"/>
        <v>#VALUE!</v>
      </c>
      <c r="T33" s="204" t="e">
        <f t="shared" si="6"/>
        <v>#VALUE!</v>
      </c>
      <c r="U33" s="204">
        <f t="shared" si="7"/>
        <v>1</v>
      </c>
      <c r="V33" s="204" t="e">
        <f t="shared" si="8"/>
        <v>#VALUE!</v>
      </c>
      <c r="W33" s="204" t="e">
        <f t="shared" si="9"/>
        <v>#VALUE!</v>
      </c>
      <c r="X33" s="204" t="e">
        <f t="shared" si="10"/>
        <v>#VALUE!</v>
      </c>
      <c r="Y33" s="204" t="e">
        <f t="shared" si="11"/>
        <v>#VALUE!</v>
      </c>
      <c r="Z33" s="204" t="e">
        <f t="shared" si="12"/>
        <v>#VALUE!</v>
      </c>
      <c r="AA33" s="204" t="e">
        <f t="shared" si="13"/>
        <v>#VALUE!</v>
      </c>
      <c r="AB33" s="204" t="e">
        <f t="shared" si="14"/>
        <v>#VALUE!</v>
      </c>
      <c r="AC33" s="204" t="e">
        <f t="shared" si="15"/>
        <v>#VALUE!</v>
      </c>
    </row>
    <row r="34" spans="1:29" ht="12.45" customHeight="1">
      <c r="A34" s="139" t="s">
        <v>192</v>
      </c>
      <c r="B34" s="105">
        <v>325000</v>
      </c>
      <c r="C34" s="9">
        <v>264000</v>
      </c>
      <c r="D34" s="9">
        <v>46000</v>
      </c>
      <c r="E34" s="9">
        <v>15000</v>
      </c>
      <c r="F34" s="9">
        <v>196000</v>
      </c>
      <c r="G34" s="9">
        <v>180000</v>
      </c>
      <c r="H34" s="9">
        <v>15000</v>
      </c>
      <c r="I34" s="13" t="s">
        <v>222</v>
      </c>
      <c r="J34" s="9">
        <v>19000</v>
      </c>
      <c r="K34" s="9">
        <v>10000</v>
      </c>
      <c r="L34" s="13" t="s">
        <v>191</v>
      </c>
      <c r="M34" s="13" t="s">
        <v>220</v>
      </c>
      <c r="N34" s="9">
        <v>110000</v>
      </c>
      <c r="O34" s="9">
        <v>73000</v>
      </c>
      <c r="P34" s="9">
        <v>24000</v>
      </c>
      <c r="Q34" s="9">
        <v>14000</v>
      </c>
      <c r="R34" s="204">
        <f t="shared" si="4"/>
        <v>0.81230769230769229</v>
      </c>
      <c r="S34" s="204">
        <f t="shared" si="5"/>
        <v>0.14153846153846153</v>
      </c>
      <c r="T34" s="204">
        <f t="shared" si="6"/>
        <v>4.6153846153846156E-2</v>
      </c>
      <c r="U34" s="204">
        <f t="shared" si="7"/>
        <v>0.91836734693877553</v>
      </c>
      <c r="V34" s="204">
        <f t="shared" si="8"/>
        <v>7.6530612244897961E-2</v>
      </c>
      <c r="W34" s="204" t="e">
        <f t="shared" si="9"/>
        <v>#VALUE!</v>
      </c>
      <c r="X34" s="204">
        <f t="shared" si="10"/>
        <v>0.52631578947368418</v>
      </c>
      <c r="Y34" s="204" t="e">
        <f t="shared" si="11"/>
        <v>#VALUE!</v>
      </c>
      <c r="Z34" s="204" t="e">
        <f t="shared" si="12"/>
        <v>#VALUE!</v>
      </c>
      <c r="AA34" s="204">
        <f t="shared" si="13"/>
        <v>0.66363636363636369</v>
      </c>
      <c r="AB34" s="204">
        <f t="shared" si="14"/>
        <v>0.21818181818181817</v>
      </c>
      <c r="AC34" s="204">
        <f t="shared" si="15"/>
        <v>0.12727272727272726</v>
      </c>
    </row>
    <row r="35" spans="1:29" ht="12.45" customHeight="1">
      <c r="A35" s="140" t="s">
        <v>193</v>
      </c>
      <c r="B35" s="105">
        <v>42000</v>
      </c>
      <c r="C35" s="9">
        <v>34000</v>
      </c>
      <c r="D35" s="9">
        <v>5000</v>
      </c>
      <c r="E35" s="13" t="s">
        <v>220</v>
      </c>
      <c r="F35" s="9">
        <v>26000</v>
      </c>
      <c r="G35" s="9">
        <v>24000</v>
      </c>
      <c r="H35" s="9">
        <v>1000</v>
      </c>
      <c r="I35" s="13" t="s">
        <v>220</v>
      </c>
      <c r="J35" s="13" t="s">
        <v>191</v>
      </c>
      <c r="K35" s="13" t="s">
        <v>220</v>
      </c>
      <c r="L35" s="13" t="s">
        <v>220</v>
      </c>
      <c r="M35" s="13" t="s">
        <v>220</v>
      </c>
      <c r="N35" s="9">
        <v>15000</v>
      </c>
      <c r="O35" s="9">
        <v>10000</v>
      </c>
      <c r="P35" s="9">
        <v>3000</v>
      </c>
      <c r="Q35" s="13" t="s">
        <v>220</v>
      </c>
      <c r="R35" s="204">
        <f t="shared" si="4"/>
        <v>0.80952380952380953</v>
      </c>
      <c r="S35" s="204">
        <f t="shared" si="5"/>
        <v>0.11904761904761904</v>
      </c>
      <c r="T35" s="204" t="e">
        <f t="shared" si="6"/>
        <v>#VALUE!</v>
      </c>
      <c r="U35" s="204">
        <f t="shared" si="7"/>
        <v>0.92307692307692313</v>
      </c>
      <c r="V35" s="204">
        <f t="shared" si="8"/>
        <v>3.8461538461538464E-2</v>
      </c>
      <c r="W35" s="204" t="e">
        <f t="shared" si="9"/>
        <v>#VALUE!</v>
      </c>
      <c r="X35" s="204" t="e">
        <f t="shared" si="10"/>
        <v>#VALUE!</v>
      </c>
      <c r="Y35" s="204" t="e">
        <f t="shared" si="11"/>
        <v>#VALUE!</v>
      </c>
      <c r="Z35" s="204" t="e">
        <f t="shared" si="12"/>
        <v>#VALUE!</v>
      </c>
      <c r="AA35" s="204">
        <f t="shared" si="13"/>
        <v>0.66666666666666663</v>
      </c>
      <c r="AB35" s="204">
        <f t="shared" si="14"/>
        <v>0.2</v>
      </c>
      <c r="AC35" s="204" t="e">
        <f t="shared" si="15"/>
        <v>#VALUE!</v>
      </c>
    </row>
    <row r="36" spans="1:29" ht="12.45" customHeight="1">
      <c r="A36" s="140" t="s">
        <v>194</v>
      </c>
      <c r="B36" s="105">
        <v>32000</v>
      </c>
      <c r="C36" s="9">
        <v>24000</v>
      </c>
      <c r="D36" s="9">
        <v>6000</v>
      </c>
      <c r="E36" s="13" t="s">
        <v>191</v>
      </c>
      <c r="F36" s="9">
        <v>16000</v>
      </c>
      <c r="G36" s="9">
        <v>16000</v>
      </c>
      <c r="H36" s="13" t="s">
        <v>191</v>
      </c>
      <c r="I36" s="13" t="s">
        <v>220</v>
      </c>
      <c r="J36" s="13" t="s">
        <v>191</v>
      </c>
      <c r="K36" s="13" t="s">
        <v>191</v>
      </c>
      <c r="L36" s="13" t="s">
        <v>220</v>
      </c>
      <c r="M36" s="13" t="s">
        <v>220</v>
      </c>
      <c r="N36" s="9">
        <v>14000</v>
      </c>
      <c r="O36" s="9">
        <v>8000</v>
      </c>
      <c r="P36" s="9">
        <v>5000</v>
      </c>
      <c r="Q36" s="13" t="s">
        <v>191</v>
      </c>
      <c r="R36" s="204">
        <f t="shared" si="4"/>
        <v>0.75</v>
      </c>
      <c r="S36" s="204">
        <f t="shared" si="5"/>
        <v>0.1875</v>
      </c>
      <c r="T36" s="204" t="e">
        <f t="shared" si="6"/>
        <v>#VALUE!</v>
      </c>
      <c r="U36" s="204">
        <f t="shared" si="7"/>
        <v>1</v>
      </c>
      <c r="V36" s="204" t="e">
        <f t="shared" si="8"/>
        <v>#VALUE!</v>
      </c>
      <c r="W36" s="204" t="e">
        <f t="shared" si="9"/>
        <v>#VALUE!</v>
      </c>
      <c r="X36" s="204" t="e">
        <f t="shared" si="10"/>
        <v>#VALUE!</v>
      </c>
      <c r="Y36" s="204" t="e">
        <f t="shared" si="11"/>
        <v>#VALUE!</v>
      </c>
      <c r="Z36" s="204" t="e">
        <f t="shared" si="12"/>
        <v>#VALUE!</v>
      </c>
      <c r="AA36" s="204">
        <f t="shared" si="13"/>
        <v>0.5714285714285714</v>
      </c>
      <c r="AB36" s="204">
        <f t="shared" si="14"/>
        <v>0.35714285714285715</v>
      </c>
      <c r="AC36" s="204" t="e">
        <f t="shared" si="15"/>
        <v>#VALUE!</v>
      </c>
    </row>
    <row r="37" spans="1:29" ht="12.45" customHeight="1">
      <c r="A37" s="140" t="s">
        <v>195</v>
      </c>
      <c r="B37" s="105">
        <v>165000</v>
      </c>
      <c r="C37" s="9">
        <v>135000</v>
      </c>
      <c r="D37" s="9">
        <v>23000</v>
      </c>
      <c r="E37" s="9">
        <v>7000</v>
      </c>
      <c r="F37" s="9">
        <v>105000</v>
      </c>
      <c r="G37" s="9">
        <v>99000</v>
      </c>
      <c r="H37" s="9">
        <v>5000</v>
      </c>
      <c r="I37" s="13" t="s">
        <v>220</v>
      </c>
      <c r="J37" s="9">
        <v>15000</v>
      </c>
      <c r="K37" s="9">
        <v>9000</v>
      </c>
      <c r="L37" s="13" t="s">
        <v>191</v>
      </c>
      <c r="M37" s="13" t="s">
        <v>220</v>
      </c>
      <c r="N37" s="9">
        <v>46000</v>
      </c>
      <c r="O37" s="9">
        <v>27000</v>
      </c>
      <c r="P37" s="9">
        <v>12000</v>
      </c>
      <c r="Q37" s="9">
        <v>7000</v>
      </c>
      <c r="R37" s="204">
        <f t="shared" si="4"/>
        <v>0.81818181818181823</v>
      </c>
      <c r="S37" s="204">
        <f t="shared" si="5"/>
        <v>0.1393939393939394</v>
      </c>
      <c r="T37" s="204">
        <f t="shared" si="6"/>
        <v>4.2424242424242427E-2</v>
      </c>
      <c r="U37" s="204">
        <f t="shared" si="7"/>
        <v>0.94285714285714284</v>
      </c>
      <c r="V37" s="204">
        <f t="shared" si="8"/>
        <v>4.7619047619047616E-2</v>
      </c>
      <c r="W37" s="204" t="e">
        <f t="shared" si="9"/>
        <v>#VALUE!</v>
      </c>
      <c r="X37" s="204">
        <f t="shared" si="10"/>
        <v>0.6</v>
      </c>
      <c r="Y37" s="204" t="e">
        <f t="shared" si="11"/>
        <v>#VALUE!</v>
      </c>
      <c r="Z37" s="204" t="e">
        <f t="shared" si="12"/>
        <v>#VALUE!</v>
      </c>
      <c r="AA37" s="204">
        <f t="shared" si="13"/>
        <v>0.58695652173913049</v>
      </c>
      <c r="AB37" s="204">
        <f t="shared" si="14"/>
        <v>0.2608695652173913</v>
      </c>
      <c r="AC37" s="204">
        <f t="shared" si="15"/>
        <v>0.15217391304347827</v>
      </c>
    </row>
    <row r="38" spans="1:29" ht="12.45" customHeight="1">
      <c r="A38" s="140" t="s">
        <v>196</v>
      </c>
      <c r="B38" s="105">
        <v>46000</v>
      </c>
      <c r="C38" s="9">
        <v>37000</v>
      </c>
      <c r="D38" s="9">
        <v>8000</v>
      </c>
      <c r="E38" s="13" t="s">
        <v>191</v>
      </c>
      <c r="F38" s="9">
        <v>36000</v>
      </c>
      <c r="G38" s="9">
        <v>29000</v>
      </c>
      <c r="H38" s="9">
        <v>6000</v>
      </c>
      <c r="I38" s="13" t="s">
        <v>220</v>
      </c>
      <c r="J38" s="13" t="s">
        <v>220</v>
      </c>
      <c r="K38" s="13" t="s">
        <v>220</v>
      </c>
      <c r="L38" s="13" t="s">
        <v>220</v>
      </c>
      <c r="M38" s="13" t="s">
        <v>220</v>
      </c>
      <c r="N38" s="9">
        <v>10000</v>
      </c>
      <c r="O38" s="9">
        <v>7000</v>
      </c>
      <c r="P38" s="9">
        <v>1000</v>
      </c>
      <c r="Q38" s="13" t="s">
        <v>220</v>
      </c>
      <c r="R38" s="204">
        <f t="shared" si="4"/>
        <v>0.80434782608695654</v>
      </c>
      <c r="S38" s="204">
        <f t="shared" si="5"/>
        <v>0.17391304347826086</v>
      </c>
      <c r="T38" s="204" t="e">
        <f t="shared" si="6"/>
        <v>#VALUE!</v>
      </c>
      <c r="U38" s="204">
        <f t="shared" si="7"/>
        <v>0.80555555555555558</v>
      </c>
      <c r="V38" s="204">
        <f t="shared" si="8"/>
        <v>0.16666666666666666</v>
      </c>
      <c r="W38" s="204" t="e">
        <f t="shared" si="9"/>
        <v>#VALUE!</v>
      </c>
      <c r="X38" s="204" t="e">
        <f t="shared" si="10"/>
        <v>#VALUE!</v>
      </c>
      <c r="Y38" s="204" t="e">
        <f t="shared" si="11"/>
        <v>#VALUE!</v>
      </c>
      <c r="Z38" s="204" t="e">
        <f t="shared" si="12"/>
        <v>#VALUE!</v>
      </c>
      <c r="AA38" s="204">
        <f t="shared" si="13"/>
        <v>0.7</v>
      </c>
      <c r="AB38" s="204">
        <f t="shared" si="14"/>
        <v>0.1</v>
      </c>
      <c r="AC38" s="204" t="e">
        <f t="shared" si="15"/>
        <v>#VALUE!</v>
      </c>
    </row>
    <row r="39" spans="1:29" ht="12.45" customHeight="1">
      <c r="A39" s="140" t="s">
        <v>197</v>
      </c>
      <c r="B39" s="105">
        <v>40000</v>
      </c>
      <c r="C39" s="9">
        <v>34000</v>
      </c>
      <c r="D39" s="9">
        <v>4000</v>
      </c>
      <c r="E39" s="9">
        <v>2000</v>
      </c>
      <c r="F39" s="9">
        <v>14000</v>
      </c>
      <c r="G39" s="9">
        <v>12000</v>
      </c>
      <c r="H39" s="13" t="s">
        <v>191</v>
      </c>
      <c r="I39" s="13" t="s">
        <v>220</v>
      </c>
      <c r="J39" s="13" t="s">
        <v>191</v>
      </c>
      <c r="K39" s="13" t="s">
        <v>222</v>
      </c>
      <c r="L39" s="13" t="s">
        <v>220</v>
      </c>
      <c r="M39" s="13" t="s">
        <v>220</v>
      </c>
      <c r="N39" s="9">
        <v>26000</v>
      </c>
      <c r="O39" s="9">
        <v>21000</v>
      </c>
      <c r="P39" s="13" t="s">
        <v>191</v>
      </c>
      <c r="Q39" s="13" t="s">
        <v>191</v>
      </c>
      <c r="R39" s="204">
        <f t="shared" si="4"/>
        <v>0.85</v>
      </c>
      <c r="S39" s="204">
        <f t="shared" si="5"/>
        <v>0.1</v>
      </c>
      <c r="T39" s="204">
        <f t="shared" si="6"/>
        <v>0.05</v>
      </c>
      <c r="U39" s="204">
        <f t="shared" si="7"/>
        <v>0.8571428571428571</v>
      </c>
      <c r="V39" s="204" t="e">
        <f t="shared" si="8"/>
        <v>#VALUE!</v>
      </c>
      <c r="W39" s="204" t="e">
        <f t="shared" si="9"/>
        <v>#VALUE!</v>
      </c>
      <c r="X39" s="204" t="e">
        <f t="shared" si="10"/>
        <v>#VALUE!</v>
      </c>
      <c r="Y39" s="204" t="e">
        <f t="shared" si="11"/>
        <v>#VALUE!</v>
      </c>
      <c r="Z39" s="204" t="e">
        <f t="shared" si="12"/>
        <v>#VALUE!</v>
      </c>
      <c r="AA39" s="204">
        <f t="shared" si="13"/>
        <v>0.80769230769230771</v>
      </c>
      <c r="AB39" s="204" t="e">
        <f t="shared" si="14"/>
        <v>#VALUE!</v>
      </c>
      <c r="AC39" s="204" t="e">
        <f t="shared" si="15"/>
        <v>#VALUE!</v>
      </c>
    </row>
    <row r="40" spans="1:29">
      <c r="R40" s="204"/>
      <c r="S40" s="204"/>
      <c r="T40" s="204"/>
      <c r="U40" s="204"/>
      <c r="V40" s="204"/>
      <c r="W40" s="204"/>
      <c r="X40" s="204"/>
      <c r="Y40" s="204"/>
      <c r="Z40" s="204"/>
      <c r="AA40" s="204"/>
      <c r="AB40" s="204"/>
      <c r="AC40" s="204"/>
    </row>
    <row r="41" spans="1:29">
      <c r="R41" s="204"/>
      <c r="S41" s="204"/>
      <c r="T41" s="204"/>
      <c r="U41" s="204"/>
      <c r="V41" s="204"/>
      <c r="W41" s="204"/>
      <c r="X41" s="204"/>
      <c r="Y41" s="204"/>
      <c r="Z41" s="204"/>
      <c r="AA41" s="204"/>
      <c r="AB41" s="204"/>
      <c r="AC41" s="204"/>
    </row>
    <row r="42" spans="1:29">
      <c r="R42" s="204"/>
      <c r="S42" s="204"/>
      <c r="T42" s="204"/>
      <c r="U42" s="204"/>
      <c r="V42" s="204"/>
      <c r="W42" s="204"/>
      <c r="X42" s="204"/>
      <c r="Y42" s="204"/>
      <c r="Z42" s="204"/>
      <c r="AA42" s="204"/>
      <c r="AB42" s="204"/>
      <c r="AC42" s="204"/>
    </row>
    <row r="43" spans="1:29">
      <c r="R43" s="204"/>
      <c r="S43" s="204"/>
      <c r="T43" s="204"/>
      <c r="U43" s="204"/>
      <c r="V43" s="204"/>
      <c r="W43" s="204"/>
      <c r="X43" s="204"/>
      <c r="Y43" s="204"/>
      <c r="Z43" s="204"/>
      <c r="AA43" s="204"/>
      <c r="AB43" s="204"/>
      <c r="AC43" s="204"/>
    </row>
  </sheetData>
  <mergeCells count="18">
    <mergeCell ref="A1:R1"/>
    <mergeCell ref="A3:A4"/>
    <mergeCell ref="B3:E3"/>
    <mergeCell ref="F3:I3"/>
    <mergeCell ref="J3:M3"/>
    <mergeCell ref="N3:Q3"/>
    <mergeCell ref="R3:R4"/>
    <mergeCell ref="S3:S4"/>
    <mergeCell ref="T3:T4"/>
    <mergeCell ref="U3:U4"/>
    <mergeCell ref="V3:V4"/>
    <mergeCell ref="W3:W4"/>
    <mergeCell ref="AC3:AC4"/>
    <mergeCell ref="X3:X4"/>
    <mergeCell ref="Y3:Y4"/>
    <mergeCell ref="Z3:Z4"/>
    <mergeCell ref="AA3:AA4"/>
    <mergeCell ref="AB3:AB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30"/>
  <sheetViews>
    <sheetView topLeftCell="V6" workbookViewId="0">
      <selection activeCell="A4" sqref="A4:AC29"/>
    </sheetView>
  </sheetViews>
  <sheetFormatPr defaultRowHeight="13.2"/>
  <cols>
    <col min="1" max="1" width="67.109375" customWidth="1"/>
    <col min="2" max="2" width="13.44140625" customWidth="1"/>
    <col min="3" max="3" width="17.33203125" customWidth="1"/>
    <col min="4" max="4" width="20.6640625" customWidth="1"/>
    <col min="5" max="5" width="14" customWidth="1"/>
    <col min="6" max="6" width="12.44140625" customWidth="1"/>
    <col min="7" max="7" width="17.109375" customWidth="1"/>
    <col min="8" max="8" width="20.77734375" customWidth="1"/>
    <col min="9" max="9" width="13.33203125" customWidth="1"/>
    <col min="10" max="10" width="12.109375" customWidth="1"/>
    <col min="11" max="11" width="17.33203125" customWidth="1"/>
    <col min="12" max="12" width="20.77734375" customWidth="1"/>
    <col min="13" max="13" width="13.109375" customWidth="1"/>
    <col min="14" max="14" width="14" customWidth="1"/>
    <col min="15" max="15" width="17.109375" customWidth="1"/>
    <col min="16" max="16" width="20.77734375" customWidth="1"/>
    <col min="17" max="17" width="13.33203125" customWidth="1"/>
    <col min="18" max="18" width="18.44140625" bestFit="1" customWidth="1"/>
    <col min="19" max="19" width="20.44140625" bestFit="1" customWidth="1"/>
    <col min="20" max="20" width="15.44140625" bestFit="1" customWidth="1"/>
    <col min="21" max="21" width="19.77734375" bestFit="1" customWidth="1"/>
    <col min="22" max="22" width="21.77734375" bestFit="1" customWidth="1"/>
    <col min="23" max="23" width="16.6640625" bestFit="1" customWidth="1"/>
    <col min="24" max="24" width="26.109375" bestFit="1" customWidth="1"/>
    <col min="25" max="25" width="28.109375" bestFit="1" customWidth="1"/>
    <col min="26" max="26" width="23.109375" bestFit="1" customWidth="1"/>
    <col min="27" max="27" width="23.77734375" bestFit="1" customWidth="1"/>
    <col min="28" max="28" width="25.77734375" bestFit="1" customWidth="1"/>
    <col min="29" max="29" width="20.6640625" bestFit="1" customWidth="1"/>
  </cols>
  <sheetData>
    <row r="1" spans="1:32" ht="42.75" customHeight="1">
      <c r="A1" s="321" t="s">
        <v>234</v>
      </c>
      <c r="B1" s="321"/>
      <c r="C1" s="321"/>
      <c r="D1" s="321"/>
      <c r="E1" s="321"/>
      <c r="F1" s="321"/>
      <c r="G1" s="321"/>
      <c r="H1" s="321"/>
      <c r="I1" s="321"/>
      <c r="J1" s="321"/>
      <c r="K1" s="321"/>
      <c r="L1" s="321"/>
      <c r="M1" s="321"/>
      <c r="N1" s="321"/>
      <c r="O1" s="321"/>
      <c r="P1" s="321"/>
      <c r="Q1" s="321"/>
      <c r="R1" s="321"/>
    </row>
    <row r="2" spans="1:32" ht="13.95" customHeight="1">
      <c r="A2" s="339" t="s">
        <v>166</v>
      </c>
      <c r="B2" s="330" t="s">
        <v>235</v>
      </c>
      <c r="C2" s="331"/>
      <c r="D2" s="331"/>
      <c r="E2" s="332"/>
      <c r="F2" s="330" t="s">
        <v>174</v>
      </c>
      <c r="G2" s="331"/>
      <c r="H2" s="331"/>
      <c r="I2" s="332"/>
      <c r="J2" s="330" t="s">
        <v>175</v>
      </c>
      <c r="K2" s="331"/>
      <c r="L2" s="331"/>
      <c r="M2" s="332"/>
      <c r="N2" s="330" t="s">
        <v>176</v>
      </c>
      <c r="O2" s="331"/>
      <c r="P2" s="331"/>
      <c r="Q2" s="332"/>
      <c r="R2" s="342" t="s">
        <v>236</v>
      </c>
      <c r="S2" s="342" t="s">
        <v>237</v>
      </c>
      <c r="T2" s="342" t="s">
        <v>238</v>
      </c>
      <c r="U2" s="342" t="s">
        <v>239</v>
      </c>
      <c r="V2" s="342" t="s">
        <v>240</v>
      </c>
      <c r="W2" s="342" t="s">
        <v>241</v>
      </c>
      <c r="X2" s="342" t="s">
        <v>242</v>
      </c>
      <c r="Y2" s="342" t="s">
        <v>243</v>
      </c>
      <c r="Z2" s="342" t="s">
        <v>244</v>
      </c>
      <c r="AA2" s="342" t="s">
        <v>245</v>
      </c>
      <c r="AB2" s="342" t="s">
        <v>246</v>
      </c>
      <c r="AC2" s="342" t="s">
        <v>247</v>
      </c>
      <c r="AD2" s="205"/>
      <c r="AE2" s="205"/>
      <c r="AF2" s="205"/>
    </row>
    <row r="3" spans="1:32" ht="13.95" customHeight="1">
      <c r="A3" s="340"/>
      <c r="B3" s="23" t="s">
        <v>167</v>
      </c>
      <c r="C3" s="5" t="s">
        <v>248</v>
      </c>
      <c r="D3" s="5" t="s">
        <v>249</v>
      </c>
      <c r="E3" s="5" t="s">
        <v>250</v>
      </c>
      <c r="F3" s="41" t="s">
        <v>167</v>
      </c>
      <c r="G3" s="5" t="s">
        <v>248</v>
      </c>
      <c r="H3" s="5" t="s">
        <v>249</v>
      </c>
      <c r="I3" s="5" t="s">
        <v>250</v>
      </c>
      <c r="J3" s="41" t="s">
        <v>167</v>
      </c>
      <c r="K3" s="5" t="s">
        <v>248</v>
      </c>
      <c r="L3" s="5" t="s">
        <v>249</v>
      </c>
      <c r="M3" s="5" t="s">
        <v>250</v>
      </c>
      <c r="N3" s="23" t="s">
        <v>167</v>
      </c>
      <c r="O3" s="5" t="s">
        <v>248</v>
      </c>
      <c r="P3" s="5" t="s">
        <v>249</v>
      </c>
      <c r="Q3" s="5" t="s">
        <v>250</v>
      </c>
      <c r="R3" s="337"/>
      <c r="S3" s="337"/>
      <c r="T3" s="337"/>
      <c r="U3" s="337"/>
      <c r="V3" s="337"/>
      <c r="W3" s="337"/>
      <c r="X3" s="337"/>
      <c r="Y3" s="337"/>
      <c r="Z3" s="337"/>
      <c r="AA3" s="337"/>
      <c r="AB3" s="337"/>
      <c r="AC3" s="337"/>
      <c r="AD3" s="203"/>
      <c r="AE3" s="203"/>
      <c r="AF3" s="203"/>
    </row>
    <row r="4" spans="1:32" ht="12.45" customHeight="1">
      <c r="A4" s="139" t="s">
        <v>198</v>
      </c>
      <c r="B4" s="107">
        <v>256000</v>
      </c>
      <c r="C4" s="7">
        <v>201000</v>
      </c>
      <c r="D4" s="7">
        <v>44000</v>
      </c>
      <c r="E4" s="7">
        <v>10000</v>
      </c>
      <c r="F4" s="7">
        <v>171000</v>
      </c>
      <c r="G4" s="7">
        <v>145000</v>
      </c>
      <c r="H4" s="7">
        <v>24000</v>
      </c>
      <c r="I4" s="7">
        <v>3000</v>
      </c>
      <c r="J4" s="7">
        <v>34000</v>
      </c>
      <c r="K4" s="7">
        <v>27000</v>
      </c>
      <c r="L4" s="7">
        <v>7000</v>
      </c>
      <c r="M4" s="19" t="s">
        <v>220</v>
      </c>
      <c r="N4" s="7">
        <v>50000</v>
      </c>
      <c r="O4" s="7">
        <v>30000</v>
      </c>
      <c r="P4" s="7">
        <v>13000</v>
      </c>
      <c r="Q4" s="7">
        <v>7000</v>
      </c>
      <c r="R4" s="204">
        <f>C4/$B4</f>
        <v>0.78515625</v>
      </c>
      <c r="S4" s="204">
        <f t="shared" ref="S4:T4" si="0">D4/$B4</f>
        <v>0.171875</v>
      </c>
      <c r="T4" s="204">
        <f t="shared" si="0"/>
        <v>3.90625E-2</v>
      </c>
      <c r="U4" s="204">
        <f>G4/$F4</f>
        <v>0.84795321637426901</v>
      </c>
      <c r="V4" s="204">
        <f t="shared" ref="V4:W4" si="1">H4/$F4</f>
        <v>0.14035087719298245</v>
      </c>
      <c r="W4" s="204">
        <f t="shared" si="1"/>
        <v>1.7543859649122806E-2</v>
      </c>
      <c r="X4" s="204">
        <f>K4/$J4</f>
        <v>0.79411764705882348</v>
      </c>
      <c r="Y4" s="204">
        <f t="shared" ref="Y4:Z4" si="2">L4/$J4</f>
        <v>0.20588235294117646</v>
      </c>
      <c r="Z4" s="204" t="e">
        <f t="shared" si="2"/>
        <v>#VALUE!</v>
      </c>
      <c r="AA4" s="204">
        <f>O4/$N4</f>
        <v>0.6</v>
      </c>
      <c r="AB4" s="204">
        <f t="shared" ref="AB4:AC4" si="3">P4/$N4</f>
        <v>0.26</v>
      </c>
      <c r="AC4" s="204">
        <f t="shared" si="3"/>
        <v>0.14000000000000001</v>
      </c>
    </row>
    <row r="5" spans="1:32" ht="12.45" customHeight="1">
      <c r="A5" s="140" t="s">
        <v>199</v>
      </c>
      <c r="B5" s="105">
        <v>11000</v>
      </c>
      <c r="C5" s="9">
        <v>10000</v>
      </c>
      <c r="D5" s="13" t="s">
        <v>191</v>
      </c>
      <c r="E5" s="13" t="s">
        <v>220</v>
      </c>
      <c r="F5" s="9">
        <v>7000</v>
      </c>
      <c r="G5" s="9">
        <v>6000</v>
      </c>
      <c r="H5" s="13" t="s">
        <v>191</v>
      </c>
      <c r="I5" s="13" t="s">
        <v>220</v>
      </c>
      <c r="J5" s="13" t="s">
        <v>191</v>
      </c>
      <c r="K5" s="13" t="s">
        <v>191</v>
      </c>
      <c r="L5" s="13" t="s">
        <v>220</v>
      </c>
      <c r="M5" s="13" t="s">
        <v>220</v>
      </c>
      <c r="N5" s="13" t="s">
        <v>191</v>
      </c>
      <c r="O5" s="13" t="s">
        <v>191</v>
      </c>
      <c r="P5" s="13" t="s">
        <v>220</v>
      </c>
      <c r="Q5" s="13" t="s">
        <v>220</v>
      </c>
      <c r="R5" s="204">
        <f t="shared" ref="R5:R27" si="4">C5/$B5</f>
        <v>0.90909090909090906</v>
      </c>
      <c r="S5" s="204" t="e">
        <f t="shared" ref="S5:S27" si="5">D5/$B5</f>
        <v>#VALUE!</v>
      </c>
      <c r="T5" s="204" t="e">
        <f t="shared" ref="T5:T27" si="6">E5/$B5</f>
        <v>#VALUE!</v>
      </c>
      <c r="U5" s="204">
        <f t="shared" ref="U5:U27" si="7">G5/$F5</f>
        <v>0.8571428571428571</v>
      </c>
      <c r="V5" s="204" t="e">
        <f t="shared" ref="V5:V27" si="8">H5/$F5</f>
        <v>#VALUE!</v>
      </c>
      <c r="W5" s="204" t="e">
        <f t="shared" ref="W5:W27" si="9">I5/$F5</f>
        <v>#VALUE!</v>
      </c>
      <c r="X5" s="204" t="e">
        <f t="shared" ref="X5:X27" si="10">K5/$J5</f>
        <v>#VALUE!</v>
      </c>
      <c r="Y5" s="204" t="e">
        <f t="shared" ref="Y5:Y27" si="11">L5/$J5</f>
        <v>#VALUE!</v>
      </c>
      <c r="Z5" s="204" t="e">
        <f t="shared" ref="Z5:Z27" si="12">M5/$J5</f>
        <v>#VALUE!</v>
      </c>
      <c r="AA5" s="204" t="e">
        <f t="shared" ref="AA5:AA27" si="13">O5/$N5</f>
        <v>#VALUE!</v>
      </c>
      <c r="AB5" s="204" t="e">
        <f t="shared" ref="AB5:AB27" si="14">P5/$N5</f>
        <v>#VALUE!</v>
      </c>
      <c r="AC5" s="204" t="e">
        <f t="shared" ref="AC5:AC27" si="15">Q5/$N5</f>
        <v>#VALUE!</v>
      </c>
    </row>
    <row r="6" spans="1:32" ht="12.45" customHeight="1">
      <c r="A6" s="140" t="s">
        <v>200</v>
      </c>
      <c r="B6" s="105">
        <v>30000</v>
      </c>
      <c r="C6" s="9">
        <v>22000</v>
      </c>
      <c r="D6" s="9">
        <v>5000</v>
      </c>
      <c r="E6" s="13" t="s">
        <v>191</v>
      </c>
      <c r="F6" s="9">
        <v>17000</v>
      </c>
      <c r="G6" s="9">
        <v>15000</v>
      </c>
      <c r="H6" s="9">
        <v>2000</v>
      </c>
      <c r="I6" s="13" t="s">
        <v>220</v>
      </c>
      <c r="J6" s="9">
        <v>5000</v>
      </c>
      <c r="K6" s="9">
        <v>4000</v>
      </c>
      <c r="L6" s="9">
        <v>1000</v>
      </c>
      <c r="M6" s="13" t="s">
        <v>220</v>
      </c>
      <c r="N6" s="9">
        <v>8000</v>
      </c>
      <c r="O6" s="13" t="s">
        <v>191</v>
      </c>
      <c r="P6" s="9">
        <v>2000</v>
      </c>
      <c r="Q6" s="13" t="s">
        <v>191</v>
      </c>
      <c r="R6" s="204">
        <f t="shared" si="4"/>
        <v>0.73333333333333328</v>
      </c>
      <c r="S6" s="204">
        <f t="shared" si="5"/>
        <v>0.16666666666666666</v>
      </c>
      <c r="T6" s="204" t="e">
        <f t="shared" si="6"/>
        <v>#VALUE!</v>
      </c>
      <c r="U6" s="204">
        <f t="shared" si="7"/>
        <v>0.88235294117647056</v>
      </c>
      <c r="V6" s="204">
        <f t="shared" si="8"/>
        <v>0.11764705882352941</v>
      </c>
      <c r="W6" s="204" t="e">
        <f t="shared" si="9"/>
        <v>#VALUE!</v>
      </c>
      <c r="X6" s="204">
        <f t="shared" si="10"/>
        <v>0.8</v>
      </c>
      <c r="Y6" s="204">
        <f t="shared" si="11"/>
        <v>0.2</v>
      </c>
      <c r="Z6" s="204" t="e">
        <f t="shared" si="12"/>
        <v>#VALUE!</v>
      </c>
      <c r="AA6" s="204" t="e">
        <f t="shared" si="13"/>
        <v>#VALUE!</v>
      </c>
      <c r="AB6" s="204">
        <f t="shared" si="14"/>
        <v>0.25</v>
      </c>
      <c r="AC6" s="204" t="e">
        <f t="shared" si="15"/>
        <v>#VALUE!</v>
      </c>
    </row>
    <row r="7" spans="1:32" ht="12.45" customHeight="1">
      <c r="A7" s="140" t="s">
        <v>201</v>
      </c>
      <c r="B7" s="105">
        <v>22000</v>
      </c>
      <c r="C7" s="9">
        <v>19000</v>
      </c>
      <c r="D7" s="9">
        <v>2000</v>
      </c>
      <c r="E7" s="13" t="s">
        <v>220</v>
      </c>
      <c r="F7" s="9">
        <v>17000</v>
      </c>
      <c r="G7" s="9">
        <v>16000</v>
      </c>
      <c r="H7" s="9">
        <v>1000</v>
      </c>
      <c r="I7" s="13" t="s">
        <v>220</v>
      </c>
      <c r="J7" s="9">
        <v>1000</v>
      </c>
      <c r="K7" s="9">
        <v>1000</v>
      </c>
      <c r="L7" s="13" t="s">
        <v>220</v>
      </c>
      <c r="M7" s="13" t="s">
        <v>220</v>
      </c>
      <c r="N7" s="9">
        <v>3000</v>
      </c>
      <c r="O7" s="9">
        <v>2000</v>
      </c>
      <c r="P7" s="9">
        <v>1000</v>
      </c>
      <c r="Q7" s="13" t="s">
        <v>220</v>
      </c>
      <c r="R7" s="204">
        <f t="shared" si="4"/>
        <v>0.86363636363636365</v>
      </c>
      <c r="S7" s="204">
        <f t="shared" si="5"/>
        <v>9.0909090909090912E-2</v>
      </c>
      <c r="T7" s="204" t="e">
        <f t="shared" si="6"/>
        <v>#VALUE!</v>
      </c>
      <c r="U7" s="204">
        <f t="shared" si="7"/>
        <v>0.94117647058823528</v>
      </c>
      <c r="V7" s="204">
        <f t="shared" si="8"/>
        <v>5.8823529411764705E-2</v>
      </c>
      <c r="W7" s="204" t="e">
        <f t="shared" si="9"/>
        <v>#VALUE!</v>
      </c>
      <c r="X7" s="204">
        <f t="shared" si="10"/>
        <v>1</v>
      </c>
      <c r="Y7" s="204" t="e">
        <f t="shared" si="11"/>
        <v>#VALUE!</v>
      </c>
      <c r="Z7" s="204" t="e">
        <f t="shared" si="12"/>
        <v>#VALUE!</v>
      </c>
      <c r="AA7" s="204">
        <f t="shared" si="13"/>
        <v>0.66666666666666663</v>
      </c>
      <c r="AB7" s="204">
        <f t="shared" si="14"/>
        <v>0.33333333333333331</v>
      </c>
      <c r="AC7" s="204" t="e">
        <f t="shared" si="15"/>
        <v>#VALUE!</v>
      </c>
    </row>
    <row r="8" spans="1:32" ht="12.45" customHeight="1">
      <c r="A8" s="140" t="s">
        <v>202</v>
      </c>
      <c r="B8" s="105">
        <v>79000</v>
      </c>
      <c r="C8" s="9">
        <v>64000</v>
      </c>
      <c r="D8" s="9">
        <v>14000</v>
      </c>
      <c r="E8" s="13" t="s">
        <v>222</v>
      </c>
      <c r="F8" s="9">
        <v>54000</v>
      </c>
      <c r="G8" s="9">
        <v>46000</v>
      </c>
      <c r="H8" s="9">
        <v>7000</v>
      </c>
      <c r="I8" s="13" t="s">
        <v>220</v>
      </c>
      <c r="J8" s="9">
        <v>13000</v>
      </c>
      <c r="K8" s="9">
        <v>11000</v>
      </c>
      <c r="L8" s="9">
        <v>3000</v>
      </c>
      <c r="M8" s="13" t="s">
        <v>220</v>
      </c>
      <c r="N8" s="9">
        <v>12000</v>
      </c>
      <c r="O8" s="9">
        <v>7000</v>
      </c>
      <c r="P8" s="9">
        <v>4000</v>
      </c>
      <c r="Q8" s="13" t="s">
        <v>220</v>
      </c>
      <c r="R8" s="204">
        <f t="shared" si="4"/>
        <v>0.810126582278481</v>
      </c>
      <c r="S8" s="204">
        <f t="shared" si="5"/>
        <v>0.17721518987341772</v>
      </c>
      <c r="T8" s="204" t="e">
        <f t="shared" si="6"/>
        <v>#VALUE!</v>
      </c>
      <c r="U8" s="204">
        <f t="shared" si="7"/>
        <v>0.85185185185185186</v>
      </c>
      <c r="V8" s="204">
        <f t="shared" si="8"/>
        <v>0.12962962962962962</v>
      </c>
      <c r="W8" s="204" t="e">
        <f t="shared" si="9"/>
        <v>#VALUE!</v>
      </c>
      <c r="X8" s="204">
        <f t="shared" si="10"/>
        <v>0.84615384615384615</v>
      </c>
      <c r="Y8" s="204">
        <f t="shared" si="11"/>
        <v>0.23076923076923078</v>
      </c>
      <c r="Z8" s="204" t="e">
        <f t="shared" si="12"/>
        <v>#VALUE!</v>
      </c>
      <c r="AA8" s="204">
        <f t="shared" si="13"/>
        <v>0.58333333333333337</v>
      </c>
      <c r="AB8" s="204">
        <f t="shared" si="14"/>
        <v>0.33333333333333331</v>
      </c>
      <c r="AC8" s="204" t="e">
        <f t="shared" si="15"/>
        <v>#VALUE!</v>
      </c>
    </row>
    <row r="9" spans="1:32" ht="12.45" customHeight="1">
      <c r="A9" s="140" t="s">
        <v>203</v>
      </c>
      <c r="B9" s="105">
        <v>11000</v>
      </c>
      <c r="C9" s="9">
        <v>8000</v>
      </c>
      <c r="D9" s="9">
        <v>2000</v>
      </c>
      <c r="E9" s="13" t="s">
        <v>220</v>
      </c>
      <c r="F9" s="9">
        <v>5000</v>
      </c>
      <c r="G9" s="9">
        <v>4000</v>
      </c>
      <c r="H9" s="9">
        <v>1000</v>
      </c>
      <c r="I9" s="13" t="s">
        <v>220</v>
      </c>
      <c r="J9" s="13" t="s">
        <v>191</v>
      </c>
      <c r="K9" s="13" t="s">
        <v>191</v>
      </c>
      <c r="L9" s="13" t="s">
        <v>220</v>
      </c>
      <c r="M9" s="13" t="s">
        <v>220</v>
      </c>
      <c r="N9" s="9">
        <v>4000</v>
      </c>
      <c r="O9" s="13" t="s">
        <v>191</v>
      </c>
      <c r="P9" s="9">
        <v>1000</v>
      </c>
      <c r="Q9" s="13" t="s">
        <v>220</v>
      </c>
      <c r="R9" s="204">
        <f t="shared" si="4"/>
        <v>0.72727272727272729</v>
      </c>
      <c r="S9" s="204">
        <f t="shared" si="5"/>
        <v>0.18181818181818182</v>
      </c>
      <c r="T9" s="204" t="e">
        <f t="shared" si="6"/>
        <v>#VALUE!</v>
      </c>
      <c r="U9" s="204">
        <f t="shared" si="7"/>
        <v>0.8</v>
      </c>
      <c r="V9" s="204">
        <f t="shared" si="8"/>
        <v>0.2</v>
      </c>
      <c r="W9" s="204" t="e">
        <f t="shared" si="9"/>
        <v>#VALUE!</v>
      </c>
      <c r="X9" s="204" t="e">
        <f t="shared" si="10"/>
        <v>#VALUE!</v>
      </c>
      <c r="Y9" s="204" t="e">
        <f t="shared" si="11"/>
        <v>#VALUE!</v>
      </c>
      <c r="Z9" s="204" t="e">
        <f t="shared" si="12"/>
        <v>#VALUE!</v>
      </c>
      <c r="AA9" s="204" t="e">
        <f t="shared" si="13"/>
        <v>#VALUE!</v>
      </c>
      <c r="AB9" s="204">
        <f t="shared" si="14"/>
        <v>0.25</v>
      </c>
      <c r="AC9" s="204" t="e">
        <f t="shared" si="15"/>
        <v>#VALUE!</v>
      </c>
    </row>
    <row r="10" spans="1:32" ht="12.45" customHeight="1">
      <c r="A10" s="140" t="s">
        <v>204</v>
      </c>
      <c r="B10" s="105">
        <v>29000</v>
      </c>
      <c r="C10" s="9">
        <v>22000</v>
      </c>
      <c r="D10" s="9">
        <v>5000</v>
      </c>
      <c r="E10" s="13" t="s">
        <v>191</v>
      </c>
      <c r="F10" s="9">
        <v>21000</v>
      </c>
      <c r="G10" s="9">
        <v>17000</v>
      </c>
      <c r="H10" s="9">
        <v>4000</v>
      </c>
      <c r="I10" s="13" t="s">
        <v>220</v>
      </c>
      <c r="J10" s="9">
        <v>2000</v>
      </c>
      <c r="K10" s="9">
        <v>1000</v>
      </c>
      <c r="L10" s="9">
        <v>1000</v>
      </c>
      <c r="M10" s="13" t="s">
        <v>220</v>
      </c>
      <c r="N10" s="9">
        <v>6000</v>
      </c>
      <c r="O10" s="9">
        <v>5000</v>
      </c>
      <c r="P10" s="9">
        <v>1000</v>
      </c>
      <c r="Q10" s="13" t="s">
        <v>220</v>
      </c>
      <c r="R10" s="204">
        <f t="shared" si="4"/>
        <v>0.75862068965517238</v>
      </c>
      <c r="S10" s="204">
        <f t="shared" si="5"/>
        <v>0.17241379310344829</v>
      </c>
      <c r="T10" s="204" t="e">
        <f t="shared" si="6"/>
        <v>#VALUE!</v>
      </c>
      <c r="U10" s="204">
        <f t="shared" si="7"/>
        <v>0.80952380952380953</v>
      </c>
      <c r="V10" s="204">
        <f t="shared" si="8"/>
        <v>0.19047619047619047</v>
      </c>
      <c r="W10" s="204" t="e">
        <f t="shared" si="9"/>
        <v>#VALUE!</v>
      </c>
      <c r="X10" s="204">
        <f t="shared" si="10"/>
        <v>0.5</v>
      </c>
      <c r="Y10" s="204">
        <f t="shared" si="11"/>
        <v>0.5</v>
      </c>
      <c r="Z10" s="204" t="e">
        <f t="shared" si="12"/>
        <v>#VALUE!</v>
      </c>
      <c r="AA10" s="204">
        <f t="shared" si="13"/>
        <v>0.83333333333333337</v>
      </c>
      <c r="AB10" s="204">
        <f t="shared" si="14"/>
        <v>0.16666666666666666</v>
      </c>
      <c r="AC10" s="204" t="e">
        <f t="shared" si="15"/>
        <v>#VALUE!</v>
      </c>
    </row>
    <row r="11" spans="1:32" ht="12.45" customHeight="1">
      <c r="A11" s="140" t="s">
        <v>205</v>
      </c>
      <c r="B11" s="105">
        <v>75000</v>
      </c>
      <c r="C11" s="9">
        <v>56000</v>
      </c>
      <c r="D11" s="9">
        <v>15000</v>
      </c>
      <c r="E11" s="9">
        <v>5000</v>
      </c>
      <c r="F11" s="9">
        <v>51000</v>
      </c>
      <c r="G11" s="9">
        <v>41000</v>
      </c>
      <c r="H11" s="9">
        <v>9000</v>
      </c>
      <c r="I11" s="13" t="s">
        <v>220</v>
      </c>
      <c r="J11" s="9">
        <v>9000</v>
      </c>
      <c r="K11" s="9">
        <v>7000</v>
      </c>
      <c r="L11" s="9">
        <v>1000</v>
      </c>
      <c r="M11" s="13" t="s">
        <v>220</v>
      </c>
      <c r="N11" s="9">
        <v>16000</v>
      </c>
      <c r="O11" s="9">
        <v>8000</v>
      </c>
      <c r="P11" s="9">
        <v>4000</v>
      </c>
      <c r="Q11" s="9">
        <v>4000</v>
      </c>
      <c r="R11" s="204">
        <f t="shared" si="4"/>
        <v>0.7466666666666667</v>
      </c>
      <c r="S11" s="204">
        <f t="shared" si="5"/>
        <v>0.2</v>
      </c>
      <c r="T11" s="204">
        <f t="shared" si="6"/>
        <v>6.6666666666666666E-2</v>
      </c>
      <c r="U11" s="204">
        <f t="shared" si="7"/>
        <v>0.80392156862745101</v>
      </c>
      <c r="V11" s="204">
        <f t="shared" si="8"/>
        <v>0.17647058823529413</v>
      </c>
      <c r="W11" s="204" t="e">
        <f t="shared" si="9"/>
        <v>#VALUE!</v>
      </c>
      <c r="X11" s="204">
        <f t="shared" si="10"/>
        <v>0.77777777777777779</v>
      </c>
      <c r="Y11" s="204">
        <f t="shared" si="11"/>
        <v>0.1111111111111111</v>
      </c>
      <c r="Z11" s="204" t="e">
        <f t="shared" si="12"/>
        <v>#VALUE!</v>
      </c>
      <c r="AA11" s="204">
        <f t="shared" si="13"/>
        <v>0.5</v>
      </c>
      <c r="AB11" s="204">
        <f t="shared" si="14"/>
        <v>0.25</v>
      </c>
      <c r="AC11" s="204">
        <f t="shared" si="15"/>
        <v>0.25</v>
      </c>
    </row>
    <row r="12" spans="1:32" ht="12.45" customHeight="1">
      <c r="A12" s="138" t="s">
        <v>206</v>
      </c>
      <c r="B12" s="105">
        <v>304000</v>
      </c>
      <c r="C12" s="9">
        <v>257000</v>
      </c>
      <c r="D12" s="9">
        <v>26000</v>
      </c>
      <c r="E12" s="9">
        <v>21000</v>
      </c>
      <c r="F12" s="9">
        <v>51000</v>
      </c>
      <c r="G12" s="9">
        <v>46000</v>
      </c>
      <c r="H12" s="9">
        <v>5000</v>
      </c>
      <c r="I12" s="13" t="s">
        <v>220</v>
      </c>
      <c r="J12" s="9">
        <v>192000</v>
      </c>
      <c r="K12" s="9">
        <v>174000</v>
      </c>
      <c r="L12" s="9">
        <v>15000</v>
      </c>
      <c r="M12" s="13" t="s">
        <v>191</v>
      </c>
      <c r="N12" s="9">
        <v>61000</v>
      </c>
      <c r="O12" s="9">
        <v>38000</v>
      </c>
      <c r="P12" s="9">
        <v>6000</v>
      </c>
      <c r="Q12" s="9">
        <v>18000</v>
      </c>
      <c r="R12" s="204">
        <f t="shared" si="4"/>
        <v>0.84539473684210531</v>
      </c>
      <c r="S12" s="204">
        <f t="shared" si="5"/>
        <v>8.5526315789473686E-2</v>
      </c>
      <c r="T12" s="204">
        <f t="shared" si="6"/>
        <v>6.9078947368421059E-2</v>
      </c>
      <c r="U12" s="204">
        <f t="shared" si="7"/>
        <v>0.90196078431372551</v>
      </c>
      <c r="V12" s="204">
        <f t="shared" si="8"/>
        <v>9.8039215686274508E-2</v>
      </c>
      <c r="W12" s="204" t="e">
        <f t="shared" si="9"/>
        <v>#VALUE!</v>
      </c>
      <c r="X12" s="204">
        <f t="shared" si="10"/>
        <v>0.90625</v>
      </c>
      <c r="Y12" s="204">
        <f t="shared" si="11"/>
        <v>7.8125E-2</v>
      </c>
      <c r="Z12" s="204" t="e">
        <f t="shared" si="12"/>
        <v>#VALUE!</v>
      </c>
      <c r="AA12" s="204">
        <f t="shared" si="13"/>
        <v>0.62295081967213117</v>
      </c>
      <c r="AB12" s="204">
        <f t="shared" si="14"/>
        <v>9.8360655737704916E-2</v>
      </c>
      <c r="AC12" s="204">
        <f t="shared" si="15"/>
        <v>0.29508196721311475</v>
      </c>
    </row>
    <row r="13" spans="1:32" ht="12.45" customHeight="1">
      <c r="A13" s="139" t="s">
        <v>207</v>
      </c>
      <c r="B13" s="105">
        <v>275000</v>
      </c>
      <c r="C13" s="9">
        <v>233000</v>
      </c>
      <c r="D13" s="9">
        <v>24000</v>
      </c>
      <c r="E13" s="9">
        <v>18000</v>
      </c>
      <c r="F13" s="9">
        <v>40000</v>
      </c>
      <c r="G13" s="9">
        <v>35000</v>
      </c>
      <c r="H13" s="9">
        <v>4000</v>
      </c>
      <c r="I13" s="13" t="s">
        <v>220</v>
      </c>
      <c r="J13" s="9">
        <v>189000</v>
      </c>
      <c r="K13" s="9">
        <v>172000</v>
      </c>
      <c r="L13" s="9">
        <v>14000</v>
      </c>
      <c r="M13" s="13" t="s">
        <v>220</v>
      </c>
      <c r="N13" s="9">
        <v>46000</v>
      </c>
      <c r="O13" s="9">
        <v>26000</v>
      </c>
      <c r="P13" s="9">
        <v>5000</v>
      </c>
      <c r="Q13" s="9">
        <v>16000</v>
      </c>
      <c r="R13" s="204">
        <f t="shared" si="4"/>
        <v>0.84727272727272729</v>
      </c>
      <c r="S13" s="204">
        <f t="shared" si="5"/>
        <v>8.727272727272728E-2</v>
      </c>
      <c r="T13" s="204">
        <f t="shared" si="6"/>
        <v>6.545454545454546E-2</v>
      </c>
      <c r="U13" s="204">
        <f t="shared" si="7"/>
        <v>0.875</v>
      </c>
      <c r="V13" s="204">
        <f t="shared" si="8"/>
        <v>0.1</v>
      </c>
      <c r="W13" s="204" t="e">
        <f t="shared" si="9"/>
        <v>#VALUE!</v>
      </c>
      <c r="X13" s="204">
        <f t="shared" si="10"/>
        <v>0.91005291005291</v>
      </c>
      <c r="Y13" s="204">
        <f t="shared" si="11"/>
        <v>7.407407407407407E-2</v>
      </c>
      <c r="Z13" s="204" t="e">
        <f t="shared" si="12"/>
        <v>#VALUE!</v>
      </c>
      <c r="AA13" s="204">
        <f t="shared" si="13"/>
        <v>0.56521739130434778</v>
      </c>
      <c r="AB13" s="204">
        <f t="shared" si="14"/>
        <v>0.10869565217391304</v>
      </c>
      <c r="AC13" s="204">
        <f t="shared" si="15"/>
        <v>0.34782608695652173</v>
      </c>
    </row>
    <row r="14" spans="1:32" ht="12.45" customHeight="1">
      <c r="A14" s="139" t="s">
        <v>208</v>
      </c>
      <c r="B14" s="105">
        <v>14000</v>
      </c>
      <c r="C14" s="9">
        <v>13000</v>
      </c>
      <c r="D14" s="13" t="s">
        <v>222</v>
      </c>
      <c r="E14" s="13" t="s">
        <v>220</v>
      </c>
      <c r="F14" s="9">
        <v>5000</v>
      </c>
      <c r="G14" s="9">
        <v>4000</v>
      </c>
      <c r="H14" s="13" t="s">
        <v>220</v>
      </c>
      <c r="I14" s="13" t="s">
        <v>220</v>
      </c>
      <c r="J14" s="9">
        <v>1000</v>
      </c>
      <c r="K14" s="9">
        <v>1000</v>
      </c>
      <c r="L14" s="13" t="s">
        <v>220</v>
      </c>
      <c r="M14" s="13" t="s">
        <v>220</v>
      </c>
      <c r="N14" s="9">
        <v>8000</v>
      </c>
      <c r="O14" s="9">
        <v>8000</v>
      </c>
      <c r="P14" s="13" t="s">
        <v>220</v>
      </c>
      <c r="Q14" s="13" t="s">
        <v>220</v>
      </c>
      <c r="R14" s="204">
        <f t="shared" si="4"/>
        <v>0.9285714285714286</v>
      </c>
      <c r="S14" s="204" t="e">
        <f t="shared" si="5"/>
        <v>#VALUE!</v>
      </c>
      <c r="T14" s="204" t="e">
        <f t="shared" si="6"/>
        <v>#VALUE!</v>
      </c>
      <c r="U14" s="204">
        <f t="shared" si="7"/>
        <v>0.8</v>
      </c>
      <c r="V14" s="204" t="e">
        <f t="shared" si="8"/>
        <v>#VALUE!</v>
      </c>
      <c r="W14" s="204" t="e">
        <f t="shared" si="9"/>
        <v>#VALUE!</v>
      </c>
      <c r="X14" s="204">
        <f t="shared" si="10"/>
        <v>1</v>
      </c>
      <c r="Y14" s="204" t="e">
        <f t="shared" si="11"/>
        <v>#VALUE!</v>
      </c>
      <c r="Z14" s="204" t="e">
        <f t="shared" si="12"/>
        <v>#VALUE!</v>
      </c>
      <c r="AA14" s="204">
        <f t="shared" si="13"/>
        <v>1</v>
      </c>
      <c r="AB14" s="204" t="e">
        <f t="shared" si="14"/>
        <v>#VALUE!</v>
      </c>
      <c r="AC14" s="204" t="e">
        <f t="shared" si="15"/>
        <v>#VALUE!</v>
      </c>
    </row>
    <row r="15" spans="1:32" ht="12.45" customHeight="1">
      <c r="A15" s="139" t="s">
        <v>209</v>
      </c>
      <c r="B15" s="105">
        <v>9000</v>
      </c>
      <c r="C15" s="9">
        <v>6000</v>
      </c>
      <c r="D15" s="13" t="s">
        <v>191</v>
      </c>
      <c r="E15" s="13" t="s">
        <v>191</v>
      </c>
      <c r="F15" s="9">
        <v>5000</v>
      </c>
      <c r="G15" s="9">
        <v>5000</v>
      </c>
      <c r="H15" s="13" t="s">
        <v>222</v>
      </c>
      <c r="I15" s="13" t="s">
        <v>220</v>
      </c>
      <c r="J15" s="9">
        <v>2000</v>
      </c>
      <c r="K15" s="13" t="s">
        <v>191</v>
      </c>
      <c r="L15" s="13" t="s">
        <v>220</v>
      </c>
      <c r="M15" s="13" t="s">
        <v>220</v>
      </c>
      <c r="N15" s="13" t="s">
        <v>191</v>
      </c>
      <c r="O15" s="13" t="s">
        <v>222</v>
      </c>
      <c r="P15" s="13" t="s">
        <v>220</v>
      </c>
      <c r="Q15" s="13" t="s">
        <v>220</v>
      </c>
      <c r="R15" s="204">
        <f t="shared" si="4"/>
        <v>0.66666666666666663</v>
      </c>
      <c r="S15" s="204" t="e">
        <f t="shared" si="5"/>
        <v>#VALUE!</v>
      </c>
      <c r="T15" s="204" t="e">
        <f t="shared" si="6"/>
        <v>#VALUE!</v>
      </c>
      <c r="U15" s="204">
        <f t="shared" si="7"/>
        <v>1</v>
      </c>
      <c r="V15" s="204" t="e">
        <f t="shared" si="8"/>
        <v>#VALUE!</v>
      </c>
      <c r="W15" s="204" t="e">
        <f t="shared" si="9"/>
        <v>#VALUE!</v>
      </c>
      <c r="X15" s="204" t="e">
        <f t="shared" si="10"/>
        <v>#VALUE!</v>
      </c>
      <c r="Y15" s="204" t="e">
        <f t="shared" si="11"/>
        <v>#VALUE!</v>
      </c>
      <c r="Z15" s="204" t="e">
        <f t="shared" si="12"/>
        <v>#VALUE!</v>
      </c>
      <c r="AA15" s="204" t="e">
        <f t="shared" si="13"/>
        <v>#VALUE!</v>
      </c>
      <c r="AB15" s="204" t="e">
        <f t="shared" si="14"/>
        <v>#VALUE!</v>
      </c>
      <c r="AC15" s="204" t="e">
        <f t="shared" si="15"/>
        <v>#VALUE!</v>
      </c>
    </row>
    <row r="16" spans="1:32" ht="12.45" customHeight="1">
      <c r="A16" s="139" t="s">
        <v>210</v>
      </c>
      <c r="B16" s="105">
        <v>7000</v>
      </c>
      <c r="C16" s="9">
        <v>5000</v>
      </c>
      <c r="D16" s="13" t="s">
        <v>220</v>
      </c>
      <c r="E16" s="13" t="s">
        <v>220</v>
      </c>
      <c r="F16" s="9">
        <v>2000</v>
      </c>
      <c r="G16" s="9">
        <v>1000</v>
      </c>
      <c r="H16" s="13" t="s">
        <v>220</v>
      </c>
      <c r="I16" s="13" t="s">
        <v>220</v>
      </c>
      <c r="J16" s="13" t="s">
        <v>220</v>
      </c>
      <c r="K16" s="13" t="s">
        <v>220</v>
      </c>
      <c r="L16" s="13" t="s">
        <v>220</v>
      </c>
      <c r="M16" s="13" t="s">
        <v>220</v>
      </c>
      <c r="N16" s="9">
        <v>4000</v>
      </c>
      <c r="O16" s="9">
        <v>4000</v>
      </c>
      <c r="P16" s="13" t="s">
        <v>220</v>
      </c>
      <c r="Q16" s="13" t="s">
        <v>220</v>
      </c>
      <c r="R16" s="204">
        <f t="shared" si="4"/>
        <v>0.7142857142857143</v>
      </c>
      <c r="S16" s="204" t="e">
        <f t="shared" si="5"/>
        <v>#VALUE!</v>
      </c>
      <c r="T16" s="204" t="e">
        <f t="shared" si="6"/>
        <v>#VALUE!</v>
      </c>
      <c r="U16" s="204">
        <f t="shared" si="7"/>
        <v>0.5</v>
      </c>
      <c r="V16" s="204" t="e">
        <f t="shared" si="8"/>
        <v>#VALUE!</v>
      </c>
      <c r="W16" s="204" t="e">
        <f t="shared" si="9"/>
        <v>#VALUE!</v>
      </c>
      <c r="X16" s="204" t="e">
        <f t="shared" si="10"/>
        <v>#VALUE!</v>
      </c>
      <c r="Y16" s="204" t="e">
        <f t="shared" si="11"/>
        <v>#VALUE!</v>
      </c>
      <c r="Z16" s="204" t="e">
        <f t="shared" si="12"/>
        <v>#VALUE!</v>
      </c>
      <c r="AA16" s="204">
        <f t="shared" si="13"/>
        <v>1</v>
      </c>
      <c r="AB16" s="204" t="e">
        <f t="shared" si="14"/>
        <v>#VALUE!</v>
      </c>
      <c r="AC16" s="204" t="e">
        <f t="shared" si="15"/>
        <v>#VALUE!</v>
      </c>
    </row>
    <row r="17" spans="1:29" ht="12.45" customHeight="1">
      <c r="A17" s="138" t="s">
        <v>211</v>
      </c>
      <c r="B17" s="105">
        <v>534000</v>
      </c>
      <c r="C17" s="9">
        <v>420000</v>
      </c>
      <c r="D17" s="9">
        <v>77000</v>
      </c>
      <c r="E17" s="9">
        <v>37000</v>
      </c>
      <c r="F17" s="9">
        <v>50000</v>
      </c>
      <c r="G17" s="9">
        <v>42000</v>
      </c>
      <c r="H17" s="9">
        <v>6000</v>
      </c>
      <c r="I17" s="9">
        <v>2000</v>
      </c>
      <c r="J17" s="9">
        <v>25000</v>
      </c>
      <c r="K17" s="9">
        <v>20000</v>
      </c>
      <c r="L17" s="9">
        <v>4000</v>
      </c>
      <c r="M17" s="13" t="s">
        <v>191</v>
      </c>
      <c r="N17" s="9">
        <v>459000</v>
      </c>
      <c r="O17" s="9">
        <v>358000</v>
      </c>
      <c r="P17" s="9">
        <v>67000</v>
      </c>
      <c r="Q17" s="9">
        <v>33000</v>
      </c>
      <c r="R17" s="204">
        <f t="shared" si="4"/>
        <v>0.7865168539325843</v>
      </c>
      <c r="S17" s="204">
        <f t="shared" si="5"/>
        <v>0.14419475655430711</v>
      </c>
      <c r="T17" s="204">
        <f t="shared" si="6"/>
        <v>6.9288389513108617E-2</v>
      </c>
      <c r="U17" s="204">
        <f t="shared" si="7"/>
        <v>0.84</v>
      </c>
      <c r="V17" s="204">
        <f t="shared" si="8"/>
        <v>0.12</v>
      </c>
      <c r="W17" s="204">
        <f t="shared" si="9"/>
        <v>0.04</v>
      </c>
      <c r="X17" s="204">
        <f t="shared" si="10"/>
        <v>0.8</v>
      </c>
      <c r="Y17" s="204">
        <f t="shared" si="11"/>
        <v>0.16</v>
      </c>
      <c r="Z17" s="204" t="e">
        <f t="shared" si="12"/>
        <v>#VALUE!</v>
      </c>
      <c r="AA17" s="204">
        <f t="shared" si="13"/>
        <v>0.77995642701525059</v>
      </c>
      <c r="AB17" s="204">
        <f t="shared" si="14"/>
        <v>0.14596949891067537</v>
      </c>
      <c r="AC17" s="204">
        <f t="shared" si="15"/>
        <v>7.1895424836601302E-2</v>
      </c>
    </row>
    <row r="18" spans="1:29" ht="12.45" customHeight="1">
      <c r="A18" s="139" t="s">
        <v>212</v>
      </c>
      <c r="B18" s="105">
        <v>56000</v>
      </c>
      <c r="C18" s="9">
        <v>41000</v>
      </c>
      <c r="D18" s="9">
        <v>9000</v>
      </c>
      <c r="E18" s="9">
        <v>6000</v>
      </c>
      <c r="F18" s="9">
        <v>6000</v>
      </c>
      <c r="G18" s="9">
        <v>4000</v>
      </c>
      <c r="H18" s="13" t="s">
        <v>191</v>
      </c>
      <c r="I18" s="13" t="s">
        <v>220</v>
      </c>
      <c r="J18" s="13" t="s">
        <v>220</v>
      </c>
      <c r="K18" s="13" t="s">
        <v>220</v>
      </c>
      <c r="L18" s="13" t="s">
        <v>220</v>
      </c>
      <c r="M18" s="13" t="s">
        <v>220</v>
      </c>
      <c r="N18" s="9">
        <v>48000</v>
      </c>
      <c r="O18" s="9">
        <v>36000</v>
      </c>
      <c r="P18" s="13" t="s">
        <v>191</v>
      </c>
      <c r="Q18" s="9">
        <v>5000</v>
      </c>
      <c r="R18" s="204">
        <f t="shared" si="4"/>
        <v>0.7321428571428571</v>
      </c>
      <c r="S18" s="204">
        <f t="shared" si="5"/>
        <v>0.16071428571428573</v>
      </c>
      <c r="T18" s="204">
        <f t="shared" si="6"/>
        <v>0.10714285714285714</v>
      </c>
      <c r="U18" s="204">
        <f t="shared" si="7"/>
        <v>0.66666666666666663</v>
      </c>
      <c r="V18" s="204" t="e">
        <f t="shared" si="8"/>
        <v>#VALUE!</v>
      </c>
      <c r="W18" s="204" t="e">
        <f t="shared" si="9"/>
        <v>#VALUE!</v>
      </c>
      <c r="X18" s="204" t="e">
        <f t="shared" si="10"/>
        <v>#VALUE!</v>
      </c>
      <c r="Y18" s="204" t="e">
        <f t="shared" si="11"/>
        <v>#VALUE!</v>
      </c>
      <c r="Z18" s="204" t="e">
        <f t="shared" si="12"/>
        <v>#VALUE!</v>
      </c>
      <c r="AA18" s="204">
        <f t="shared" si="13"/>
        <v>0.75</v>
      </c>
      <c r="AB18" s="204" t="e">
        <f t="shared" si="14"/>
        <v>#VALUE!</v>
      </c>
      <c r="AC18" s="204">
        <f t="shared" si="15"/>
        <v>0.10416666666666667</v>
      </c>
    </row>
    <row r="19" spans="1:29" ht="12.45" customHeight="1">
      <c r="A19" s="139" t="s">
        <v>213</v>
      </c>
      <c r="B19" s="105">
        <v>171000</v>
      </c>
      <c r="C19" s="9">
        <v>139000</v>
      </c>
      <c r="D19" s="9">
        <v>28000</v>
      </c>
      <c r="E19" s="9">
        <v>4000</v>
      </c>
      <c r="F19" s="9">
        <v>9000</v>
      </c>
      <c r="G19" s="9">
        <v>7000</v>
      </c>
      <c r="H19" s="9">
        <v>2000</v>
      </c>
      <c r="I19" s="13" t="s">
        <v>220</v>
      </c>
      <c r="J19" s="9">
        <v>17000</v>
      </c>
      <c r="K19" s="9">
        <v>15000</v>
      </c>
      <c r="L19" s="13" t="s">
        <v>191</v>
      </c>
      <c r="M19" s="13" t="s">
        <v>222</v>
      </c>
      <c r="N19" s="9">
        <v>145000</v>
      </c>
      <c r="O19" s="9">
        <v>118000</v>
      </c>
      <c r="P19" s="9">
        <v>24000</v>
      </c>
      <c r="Q19" s="9">
        <v>4000</v>
      </c>
      <c r="R19" s="204">
        <f t="shared" si="4"/>
        <v>0.8128654970760234</v>
      </c>
      <c r="S19" s="204">
        <f t="shared" si="5"/>
        <v>0.16374269005847952</v>
      </c>
      <c r="T19" s="204">
        <f t="shared" si="6"/>
        <v>2.3391812865497075E-2</v>
      </c>
      <c r="U19" s="204">
        <f t="shared" si="7"/>
        <v>0.77777777777777779</v>
      </c>
      <c r="V19" s="204">
        <f t="shared" si="8"/>
        <v>0.22222222222222221</v>
      </c>
      <c r="W19" s="204" t="e">
        <f t="shared" si="9"/>
        <v>#VALUE!</v>
      </c>
      <c r="X19" s="204">
        <f t="shared" si="10"/>
        <v>0.88235294117647056</v>
      </c>
      <c r="Y19" s="204" t="e">
        <f t="shared" si="11"/>
        <v>#VALUE!</v>
      </c>
      <c r="Z19" s="204" t="e">
        <f t="shared" si="12"/>
        <v>#VALUE!</v>
      </c>
      <c r="AA19" s="204">
        <f t="shared" si="13"/>
        <v>0.81379310344827582</v>
      </c>
      <c r="AB19" s="204">
        <f t="shared" si="14"/>
        <v>0.16551724137931034</v>
      </c>
      <c r="AC19" s="204">
        <f t="shared" si="15"/>
        <v>2.7586206896551724E-2</v>
      </c>
    </row>
    <row r="20" spans="1:29" ht="12.45" customHeight="1">
      <c r="A20" s="139" t="s">
        <v>214</v>
      </c>
      <c r="B20" s="105">
        <v>83000</v>
      </c>
      <c r="C20" s="9">
        <v>72000</v>
      </c>
      <c r="D20" s="9">
        <v>9000</v>
      </c>
      <c r="E20" s="13" t="s">
        <v>191</v>
      </c>
      <c r="F20" s="9">
        <v>13000</v>
      </c>
      <c r="G20" s="9">
        <v>12000</v>
      </c>
      <c r="H20" s="13" t="s">
        <v>220</v>
      </c>
      <c r="I20" s="13" t="s">
        <v>220</v>
      </c>
      <c r="J20" s="13" t="s">
        <v>191</v>
      </c>
      <c r="K20" s="13" t="s">
        <v>220</v>
      </c>
      <c r="L20" s="13" t="s">
        <v>220</v>
      </c>
      <c r="M20" s="13" t="s">
        <v>220</v>
      </c>
      <c r="N20" s="9">
        <v>68000</v>
      </c>
      <c r="O20" s="9">
        <v>59000</v>
      </c>
      <c r="P20" s="9">
        <v>8000</v>
      </c>
      <c r="Q20" s="13" t="s">
        <v>220</v>
      </c>
      <c r="R20" s="204">
        <f t="shared" si="4"/>
        <v>0.86746987951807231</v>
      </c>
      <c r="S20" s="204">
        <f t="shared" si="5"/>
        <v>0.10843373493975904</v>
      </c>
      <c r="T20" s="204" t="e">
        <f t="shared" si="6"/>
        <v>#VALUE!</v>
      </c>
      <c r="U20" s="204">
        <f t="shared" si="7"/>
        <v>0.92307692307692313</v>
      </c>
      <c r="V20" s="204" t="e">
        <f t="shared" si="8"/>
        <v>#VALUE!</v>
      </c>
      <c r="W20" s="204" t="e">
        <f t="shared" si="9"/>
        <v>#VALUE!</v>
      </c>
      <c r="X20" s="204" t="e">
        <f t="shared" si="10"/>
        <v>#VALUE!</v>
      </c>
      <c r="Y20" s="204" t="e">
        <f t="shared" si="11"/>
        <v>#VALUE!</v>
      </c>
      <c r="Z20" s="204" t="e">
        <f t="shared" si="12"/>
        <v>#VALUE!</v>
      </c>
      <c r="AA20" s="204">
        <f t="shared" si="13"/>
        <v>0.86764705882352944</v>
      </c>
      <c r="AB20" s="204">
        <f t="shared" si="14"/>
        <v>0.11764705882352941</v>
      </c>
      <c r="AC20" s="204" t="e">
        <f t="shared" si="15"/>
        <v>#VALUE!</v>
      </c>
    </row>
    <row r="21" spans="1:29" ht="12.45" customHeight="1">
      <c r="A21" s="139" t="s">
        <v>215</v>
      </c>
      <c r="B21" s="105">
        <v>4000</v>
      </c>
      <c r="C21" s="9">
        <v>4000</v>
      </c>
      <c r="D21" s="13" t="s">
        <v>220</v>
      </c>
      <c r="E21" s="13" t="s">
        <v>220</v>
      </c>
      <c r="F21" s="13" t="s">
        <v>220</v>
      </c>
      <c r="G21" s="13" t="s">
        <v>220</v>
      </c>
      <c r="H21" s="13" t="s">
        <v>220</v>
      </c>
      <c r="I21" s="13" t="s">
        <v>220</v>
      </c>
      <c r="J21" s="13" t="s">
        <v>220</v>
      </c>
      <c r="K21" s="13" t="s">
        <v>220</v>
      </c>
      <c r="L21" s="13" t="s">
        <v>220</v>
      </c>
      <c r="M21" s="13" t="s">
        <v>220</v>
      </c>
      <c r="N21" s="9">
        <v>4000</v>
      </c>
      <c r="O21" s="9">
        <v>4000</v>
      </c>
      <c r="P21" s="13" t="s">
        <v>220</v>
      </c>
      <c r="Q21" s="13" t="s">
        <v>220</v>
      </c>
      <c r="R21" s="204">
        <f t="shared" si="4"/>
        <v>1</v>
      </c>
      <c r="S21" s="204" t="e">
        <f t="shared" si="5"/>
        <v>#VALUE!</v>
      </c>
      <c r="T21" s="204" t="e">
        <f t="shared" si="6"/>
        <v>#VALUE!</v>
      </c>
      <c r="U21" s="204" t="e">
        <f t="shared" si="7"/>
        <v>#VALUE!</v>
      </c>
      <c r="V21" s="204" t="e">
        <f t="shared" si="8"/>
        <v>#VALUE!</v>
      </c>
      <c r="W21" s="204" t="e">
        <f t="shared" si="9"/>
        <v>#VALUE!</v>
      </c>
      <c r="X21" s="204" t="e">
        <f t="shared" si="10"/>
        <v>#VALUE!</v>
      </c>
      <c r="Y21" s="204" t="e">
        <f t="shared" si="11"/>
        <v>#VALUE!</v>
      </c>
      <c r="Z21" s="204" t="e">
        <f t="shared" si="12"/>
        <v>#VALUE!</v>
      </c>
      <c r="AA21" s="204">
        <f t="shared" si="13"/>
        <v>1</v>
      </c>
      <c r="AB21" s="204" t="e">
        <f t="shared" si="14"/>
        <v>#VALUE!</v>
      </c>
      <c r="AC21" s="204" t="e">
        <f t="shared" si="15"/>
        <v>#VALUE!</v>
      </c>
    </row>
    <row r="22" spans="1:29" ht="12.45" customHeight="1">
      <c r="A22" s="139" t="s">
        <v>216</v>
      </c>
      <c r="B22" s="105">
        <v>160000</v>
      </c>
      <c r="C22" s="9">
        <v>116000</v>
      </c>
      <c r="D22" s="9">
        <v>25000</v>
      </c>
      <c r="E22" s="9">
        <v>20000</v>
      </c>
      <c r="F22" s="9">
        <v>5000</v>
      </c>
      <c r="G22" s="9">
        <v>3000</v>
      </c>
      <c r="H22" s="13" t="s">
        <v>220</v>
      </c>
      <c r="I22" s="13" t="s">
        <v>220</v>
      </c>
      <c r="J22" s="9">
        <v>1000</v>
      </c>
      <c r="K22" s="13" t="s">
        <v>222</v>
      </c>
      <c r="L22" s="13" t="s">
        <v>220</v>
      </c>
      <c r="M22" s="13" t="s">
        <v>220</v>
      </c>
      <c r="N22" s="9">
        <v>155000</v>
      </c>
      <c r="O22" s="9">
        <v>112000</v>
      </c>
      <c r="P22" s="9">
        <v>24000</v>
      </c>
      <c r="Q22" s="13" t="s">
        <v>191</v>
      </c>
      <c r="R22" s="204">
        <f t="shared" si="4"/>
        <v>0.72499999999999998</v>
      </c>
      <c r="S22" s="204">
        <f t="shared" si="5"/>
        <v>0.15625</v>
      </c>
      <c r="T22" s="204">
        <f t="shared" si="6"/>
        <v>0.125</v>
      </c>
      <c r="U22" s="204">
        <f t="shared" si="7"/>
        <v>0.6</v>
      </c>
      <c r="V22" s="204" t="e">
        <f t="shared" si="8"/>
        <v>#VALUE!</v>
      </c>
      <c r="W22" s="204" t="e">
        <f t="shared" si="9"/>
        <v>#VALUE!</v>
      </c>
      <c r="X22" s="204" t="e">
        <f t="shared" si="10"/>
        <v>#VALUE!</v>
      </c>
      <c r="Y22" s="204" t="e">
        <f t="shared" si="11"/>
        <v>#VALUE!</v>
      </c>
      <c r="Z22" s="204" t="e">
        <f t="shared" si="12"/>
        <v>#VALUE!</v>
      </c>
      <c r="AA22" s="204">
        <f t="shared" si="13"/>
        <v>0.72258064516129028</v>
      </c>
      <c r="AB22" s="204">
        <f t="shared" si="14"/>
        <v>0.15483870967741936</v>
      </c>
      <c r="AC22" s="204" t="e">
        <f t="shared" si="15"/>
        <v>#VALUE!</v>
      </c>
    </row>
    <row r="23" spans="1:29" ht="12.45" customHeight="1">
      <c r="A23" s="139" t="s">
        <v>217</v>
      </c>
      <c r="B23" s="105">
        <v>60000</v>
      </c>
      <c r="C23" s="9">
        <v>49000</v>
      </c>
      <c r="D23" s="13" t="s">
        <v>191</v>
      </c>
      <c r="E23" s="13" t="s">
        <v>191</v>
      </c>
      <c r="F23" s="9">
        <v>18000</v>
      </c>
      <c r="G23" s="9">
        <v>16000</v>
      </c>
      <c r="H23" s="13" t="s">
        <v>191</v>
      </c>
      <c r="I23" s="13" t="s">
        <v>220</v>
      </c>
      <c r="J23" s="13" t="s">
        <v>191</v>
      </c>
      <c r="K23" s="13" t="s">
        <v>191</v>
      </c>
      <c r="L23" s="13" t="s">
        <v>220</v>
      </c>
      <c r="M23" s="13" t="s">
        <v>220</v>
      </c>
      <c r="N23" s="9">
        <v>38000</v>
      </c>
      <c r="O23" s="9">
        <v>30000</v>
      </c>
      <c r="P23" s="13" t="s">
        <v>191</v>
      </c>
      <c r="Q23" s="13" t="s">
        <v>191</v>
      </c>
      <c r="R23" s="204">
        <f t="shared" si="4"/>
        <v>0.81666666666666665</v>
      </c>
      <c r="S23" s="204" t="e">
        <f t="shared" si="5"/>
        <v>#VALUE!</v>
      </c>
      <c r="T23" s="204" t="e">
        <f t="shared" si="6"/>
        <v>#VALUE!</v>
      </c>
      <c r="U23" s="204">
        <f t="shared" si="7"/>
        <v>0.88888888888888884</v>
      </c>
      <c r="V23" s="204" t="e">
        <f t="shared" si="8"/>
        <v>#VALUE!</v>
      </c>
      <c r="W23" s="204" t="e">
        <f t="shared" si="9"/>
        <v>#VALUE!</v>
      </c>
      <c r="X23" s="204" t="e">
        <f t="shared" si="10"/>
        <v>#VALUE!</v>
      </c>
      <c r="Y23" s="204" t="e">
        <f t="shared" si="11"/>
        <v>#VALUE!</v>
      </c>
      <c r="Z23" s="204" t="e">
        <f t="shared" si="12"/>
        <v>#VALUE!</v>
      </c>
      <c r="AA23" s="204">
        <f t="shared" si="13"/>
        <v>0.78947368421052633</v>
      </c>
      <c r="AB23" s="204" t="e">
        <f t="shared" si="14"/>
        <v>#VALUE!</v>
      </c>
      <c r="AC23" s="204" t="e">
        <f t="shared" si="15"/>
        <v>#VALUE!</v>
      </c>
    </row>
    <row r="24" spans="1:29" ht="12.45" customHeight="1">
      <c r="A24" s="111" t="s">
        <v>223</v>
      </c>
      <c r="B24" s="109">
        <v>3246000</v>
      </c>
      <c r="C24" s="104">
        <v>2824000</v>
      </c>
      <c r="D24" s="104">
        <v>267000</v>
      </c>
      <c r="E24" s="104">
        <v>156000</v>
      </c>
      <c r="F24" s="104">
        <v>82000</v>
      </c>
      <c r="G24" s="104">
        <v>54000</v>
      </c>
      <c r="H24" s="104">
        <v>20000</v>
      </c>
      <c r="I24" s="104">
        <v>9000</v>
      </c>
      <c r="J24" s="104">
        <v>1538000</v>
      </c>
      <c r="K24" s="104">
        <v>1491000</v>
      </c>
      <c r="L24" s="104">
        <v>29000</v>
      </c>
      <c r="M24" s="104">
        <v>18000</v>
      </c>
      <c r="N24" s="104">
        <v>1626000</v>
      </c>
      <c r="O24" s="104">
        <v>1279000</v>
      </c>
      <c r="P24" s="104">
        <v>218000</v>
      </c>
      <c r="Q24" s="104">
        <v>129000</v>
      </c>
      <c r="R24" s="204">
        <f t="shared" si="4"/>
        <v>0.86999383857054835</v>
      </c>
      <c r="S24" s="204">
        <f t="shared" si="5"/>
        <v>8.2255083179297597E-2</v>
      </c>
      <c r="T24" s="204">
        <f t="shared" si="6"/>
        <v>4.8059149722735672E-2</v>
      </c>
      <c r="U24" s="204">
        <f t="shared" si="7"/>
        <v>0.65853658536585369</v>
      </c>
      <c r="V24" s="204">
        <f t="shared" si="8"/>
        <v>0.24390243902439024</v>
      </c>
      <c r="W24" s="204">
        <f t="shared" si="9"/>
        <v>0.10975609756097561</v>
      </c>
      <c r="X24" s="204">
        <f t="shared" si="10"/>
        <v>0.96944083224967492</v>
      </c>
      <c r="Y24" s="204">
        <f t="shared" si="11"/>
        <v>1.8855656697009102E-2</v>
      </c>
      <c r="Z24" s="204">
        <f t="shared" si="12"/>
        <v>1.1703511053315995E-2</v>
      </c>
      <c r="AA24" s="204">
        <f t="shared" si="13"/>
        <v>0.78659286592865929</v>
      </c>
      <c r="AB24" s="204">
        <f t="shared" si="14"/>
        <v>0.13407134071340712</v>
      </c>
      <c r="AC24" s="204">
        <f t="shared" si="15"/>
        <v>7.9335793357933573E-2</v>
      </c>
    </row>
    <row r="25" spans="1:29" ht="12.45" customHeight="1">
      <c r="A25" s="112" t="s">
        <v>178</v>
      </c>
      <c r="B25" s="105">
        <v>49000</v>
      </c>
      <c r="C25" s="9">
        <v>45000</v>
      </c>
      <c r="D25" s="9">
        <v>3000</v>
      </c>
      <c r="E25" s="13" t="s">
        <v>220</v>
      </c>
      <c r="F25" s="9">
        <v>28000</v>
      </c>
      <c r="G25" s="9">
        <v>27000</v>
      </c>
      <c r="H25" s="13" t="s">
        <v>220</v>
      </c>
      <c r="I25" s="13" t="s">
        <v>220</v>
      </c>
      <c r="J25" s="13" t="s">
        <v>191</v>
      </c>
      <c r="K25" s="13" t="s">
        <v>191</v>
      </c>
      <c r="L25" s="13" t="s">
        <v>220</v>
      </c>
      <c r="M25" s="13" t="s">
        <v>220</v>
      </c>
      <c r="N25" s="9">
        <v>16000</v>
      </c>
      <c r="O25" s="9">
        <v>13000</v>
      </c>
      <c r="P25" s="9">
        <v>2000</v>
      </c>
      <c r="Q25" s="13" t="s">
        <v>220</v>
      </c>
      <c r="R25" s="204">
        <f t="shared" si="4"/>
        <v>0.91836734693877553</v>
      </c>
      <c r="S25" s="204">
        <f t="shared" si="5"/>
        <v>6.1224489795918366E-2</v>
      </c>
      <c r="T25" s="204" t="e">
        <f t="shared" si="6"/>
        <v>#VALUE!</v>
      </c>
      <c r="U25" s="204">
        <f t="shared" si="7"/>
        <v>0.9642857142857143</v>
      </c>
      <c r="V25" s="204" t="e">
        <f t="shared" si="8"/>
        <v>#VALUE!</v>
      </c>
      <c r="W25" s="204" t="e">
        <f t="shared" si="9"/>
        <v>#VALUE!</v>
      </c>
      <c r="X25" s="204" t="e">
        <f t="shared" si="10"/>
        <v>#VALUE!</v>
      </c>
      <c r="Y25" s="204" t="e">
        <f t="shared" si="11"/>
        <v>#VALUE!</v>
      </c>
      <c r="Z25" s="204" t="e">
        <f t="shared" si="12"/>
        <v>#VALUE!</v>
      </c>
      <c r="AA25" s="204">
        <f t="shared" si="13"/>
        <v>0.8125</v>
      </c>
      <c r="AB25" s="204">
        <f t="shared" si="14"/>
        <v>0.125</v>
      </c>
      <c r="AC25" s="204" t="e">
        <f t="shared" si="15"/>
        <v>#VALUE!</v>
      </c>
    </row>
    <row r="26" spans="1:29" ht="12.45" customHeight="1">
      <c r="A26" s="112" t="s">
        <v>206</v>
      </c>
      <c r="B26" s="105">
        <v>1616000</v>
      </c>
      <c r="C26" s="9">
        <v>1539000</v>
      </c>
      <c r="D26" s="9">
        <v>45000</v>
      </c>
      <c r="E26" s="9">
        <v>33000</v>
      </c>
      <c r="F26" s="9">
        <v>29000</v>
      </c>
      <c r="G26" s="9">
        <v>22000</v>
      </c>
      <c r="H26" s="9">
        <v>6000</v>
      </c>
      <c r="I26" s="13" t="s">
        <v>220</v>
      </c>
      <c r="J26" s="9">
        <v>1506000</v>
      </c>
      <c r="K26" s="9">
        <v>1476000</v>
      </c>
      <c r="L26" s="9">
        <v>23000</v>
      </c>
      <c r="M26" s="13" t="s">
        <v>191</v>
      </c>
      <c r="N26" s="9">
        <v>82000</v>
      </c>
      <c r="O26" s="9">
        <v>41000</v>
      </c>
      <c r="P26" s="9">
        <v>15000</v>
      </c>
      <c r="Q26" s="9">
        <v>26000</v>
      </c>
      <c r="R26" s="204">
        <f t="shared" si="4"/>
        <v>0.95235148514851486</v>
      </c>
      <c r="S26" s="204">
        <f t="shared" si="5"/>
        <v>2.7846534653465347E-2</v>
      </c>
      <c r="T26" s="204">
        <f t="shared" si="6"/>
        <v>2.0420792079207922E-2</v>
      </c>
      <c r="U26" s="204">
        <f t="shared" si="7"/>
        <v>0.75862068965517238</v>
      </c>
      <c r="V26" s="204">
        <f t="shared" si="8"/>
        <v>0.20689655172413793</v>
      </c>
      <c r="W26" s="204" t="e">
        <f t="shared" si="9"/>
        <v>#VALUE!</v>
      </c>
      <c r="X26" s="204">
        <f t="shared" si="10"/>
        <v>0.98007968127490042</v>
      </c>
      <c r="Y26" s="204">
        <f t="shared" si="11"/>
        <v>1.5272244355909695E-2</v>
      </c>
      <c r="Z26" s="204" t="e">
        <f t="shared" si="12"/>
        <v>#VALUE!</v>
      </c>
      <c r="AA26" s="204">
        <f t="shared" si="13"/>
        <v>0.5</v>
      </c>
      <c r="AB26" s="204">
        <f t="shared" si="14"/>
        <v>0.18292682926829268</v>
      </c>
      <c r="AC26" s="204">
        <f t="shared" si="15"/>
        <v>0.31707317073170732</v>
      </c>
    </row>
    <row r="27" spans="1:29" ht="12.45" customHeight="1">
      <c r="A27" s="112" t="s">
        <v>211</v>
      </c>
      <c r="B27" s="110">
        <v>1582000</v>
      </c>
      <c r="C27" s="21">
        <v>1240000</v>
      </c>
      <c r="D27" s="21">
        <v>219000</v>
      </c>
      <c r="E27" s="21">
        <v>122000</v>
      </c>
      <c r="F27" s="21">
        <v>25000</v>
      </c>
      <c r="G27" s="21">
        <v>4000</v>
      </c>
      <c r="H27" s="21">
        <v>13000</v>
      </c>
      <c r="I27" s="21">
        <v>9000</v>
      </c>
      <c r="J27" s="21">
        <v>28000</v>
      </c>
      <c r="K27" s="21">
        <v>11000</v>
      </c>
      <c r="L27" s="40" t="s">
        <v>191</v>
      </c>
      <c r="M27" s="21">
        <v>11000</v>
      </c>
      <c r="N27" s="21">
        <v>1528000</v>
      </c>
      <c r="O27" s="21">
        <v>1225000</v>
      </c>
      <c r="P27" s="21">
        <v>200000</v>
      </c>
      <c r="Q27" s="21">
        <v>103000</v>
      </c>
      <c r="R27" s="204">
        <f t="shared" si="4"/>
        <v>0.78381795195954485</v>
      </c>
      <c r="S27" s="204">
        <f t="shared" si="5"/>
        <v>0.13843236409608092</v>
      </c>
      <c r="T27" s="204">
        <f t="shared" si="6"/>
        <v>7.7117572692793929E-2</v>
      </c>
      <c r="U27" s="204">
        <f t="shared" si="7"/>
        <v>0.16</v>
      </c>
      <c r="V27" s="204">
        <f t="shared" si="8"/>
        <v>0.52</v>
      </c>
      <c r="W27" s="204">
        <f t="shared" si="9"/>
        <v>0.36</v>
      </c>
      <c r="X27" s="204">
        <f t="shared" si="10"/>
        <v>0.39285714285714285</v>
      </c>
      <c r="Y27" s="204" t="e">
        <f t="shared" si="11"/>
        <v>#VALUE!</v>
      </c>
      <c r="Z27" s="204">
        <f t="shared" si="12"/>
        <v>0.39285714285714285</v>
      </c>
      <c r="AA27" s="204">
        <f t="shared" si="13"/>
        <v>0.80170157068062831</v>
      </c>
      <c r="AB27" s="204">
        <f t="shared" si="14"/>
        <v>0.13089005235602094</v>
      </c>
      <c r="AC27" s="204">
        <f t="shared" si="15"/>
        <v>6.740837696335078E-2</v>
      </c>
    </row>
    <row r="28" spans="1:29" ht="11.25" customHeight="1">
      <c r="A28" s="344" t="s">
        <v>224</v>
      </c>
      <c r="B28" s="344"/>
      <c r="C28" s="344"/>
      <c r="D28" s="344"/>
      <c r="E28" s="344"/>
      <c r="F28" s="344"/>
      <c r="G28" s="344"/>
      <c r="H28" s="344"/>
      <c r="I28" s="344"/>
      <c r="J28" s="344"/>
      <c r="K28" s="344"/>
      <c r="L28" s="344"/>
      <c r="M28" s="344"/>
      <c r="N28" s="344"/>
      <c r="O28" s="344"/>
      <c r="P28" s="344"/>
      <c r="Q28" s="344"/>
      <c r="R28" s="344"/>
    </row>
    <row r="29" spans="1:29" ht="70.2" customHeight="1">
      <c r="A29" s="321" t="s">
        <v>233</v>
      </c>
      <c r="B29" s="321"/>
      <c r="C29" s="321"/>
      <c r="D29" s="321"/>
      <c r="E29" s="321"/>
      <c r="F29" s="321"/>
      <c r="G29" s="321"/>
      <c r="H29" s="321"/>
      <c r="I29" s="321"/>
      <c r="J29" s="321"/>
      <c r="K29" s="321"/>
      <c r="L29" s="321"/>
      <c r="M29" s="321"/>
      <c r="N29" s="321"/>
      <c r="O29" s="321"/>
      <c r="P29" s="321"/>
      <c r="Q29" s="321"/>
      <c r="R29" s="321"/>
    </row>
    <row r="30" spans="1:29" ht="1.95" customHeight="1"/>
  </sheetData>
  <mergeCells count="20">
    <mergeCell ref="A28:R28"/>
    <mergeCell ref="A29:R29"/>
    <mergeCell ref="A1:R1"/>
    <mergeCell ref="A2:A3"/>
    <mergeCell ref="B2:E2"/>
    <mergeCell ref="F2:I2"/>
    <mergeCell ref="J2:M2"/>
    <mergeCell ref="N2:Q2"/>
    <mergeCell ref="R2:R3"/>
    <mergeCell ref="S2:S3"/>
    <mergeCell ref="T2:T3"/>
    <mergeCell ref="U2:U3"/>
    <mergeCell ref="V2:V3"/>
    <mergeCell ref="W2:W3"/>
    <mergeCell ref="AC2:AC3"/>
    <mergeCell ref="X2:X3"/>
    <mergeCell ref="Y2:Y3"/>
    <mergeCell ref="Z2:Z3"/>
    <mergeCell ref="AA2:AA3"/>
    <mergeCell ref="AB2:AB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70"/>
  <sheetViews>
    <sheetView workbookViewId="0">
      <pane ySplit="4" topLeftCell="A5" activePane="bottomLeft" state="frozen"/>
      <selection pane="bottomLeft" sqref="A1:M1"/>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1" t="s">
        <v>251</v>
      </c>
      <c r="B1" s="321"/>
      <c r="C1" s="321"/>
      <c r="D1" s="321"/>
      <c r="E1" s="321"/>
      <c r="F1" s="321"/>
      <c r="G1" s="321"/>
      <c r="H1" s="321"/>
      <c r="I1" s="321"/>
      <c r="J1" s="321"/>
      <c r="K1" s="321"/>
      <c r="L1" s="321"/>
      <c r="M1" s="321"/>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28" t="s">
        <v>232</v>
      </c>
      <c r="B5" s="127">
        <v>51764000</v>
      </c>
      <c r="C5" s="126">
        <v>36346000</v>
      </c>
      <c r="D5" s="126">
        <v>27666000</v>
      </c>
      <c r="E5" s="126">
        <v>5237000</v>
      </c>
      <c r="F5" s="126">
        <v>3443000</v>
      </c>
      <c r="G5" s="126">
        <v>9978000</v>
      </c>
      <c r="H5" s="126">
        <v>3342000</v>
      </c>
      <c r="I5" s="126">
        <v>6637000</v>
      </c>
      <c r="J5" s="126">
        <v>5439000</v>
      </c>
      <c r="K5" s="126">
        <v>2114000</v>
      </c>
      <c r="L5" s="126">
        <v>3325000</v>
      </c>
    </row>
    <row r="6" spans="1:13" ht="12.45" customHeight="1">
      <c r="A6" s="129" t="s">
        <v>178</v>
      </c>
      <c r="B6" s="105">
        <v>16408000</v>
      </c>
      <c r="C6" s="9">
        <v>12162000</v>
      </c>
      <c r="D6" s="9">
        <v>10082000</v>
      </c>
      <c r="E6" s="9">
        <v>1195000</v>
      </c>
      <c r="F6" s="9">
        <v>884000</v>
      </c>
      <c r="G6" s="9">
        <v>2354000</v>
      </c>
      <c r="H6" s="9">
        <v>1374000</v>
      </c>
      <c r="I6" s="9">
        <v>980000</v>
      </c>
      <c r="J6" s="9">
        <v>1892000</v>
      </c>
      <c r="K6" s="9">
        <v>825000</v>
      </c>
      <c r="L6" s="9">
        <v>1067000</v>
      </c>
    </row>
    <row r="7" spans="1:13" ht="12.45" customHeight="1">
      <c r="A7" s="130" t="s">
        <v>179</v>
      </c>
      <c r="B7" s="105">
        <v>2570000</v>
      </c>
      <c r="C7" s="9">
        <v>1692000</v>
      </c>
      <c r="D7" s="9">
        <v>1290000</v>
      </c>
      <c r="E7" s="9">
        <v>236000</v>
      </c>
      <c r="F7" s="9">
        <v>165000</v>
      </c>
      <c r="G7" s="9">
        <v>526000</v>
      </c>
      <c r="H7" s="9">
        <v>374000</v>
      </c>
      <c r="I7" s="9">
        <v>152000</v>
      </c>
      <c r="J7" s="9">
        <v>352000</v>
      </c>
      <c r="K7" s="9">
        <v>145000</v>
      </c>
      <c r="L7" s="9">
        <v>208000</v>
      </c>
    </row>
    <row r="8" spans="1:13" ht="12.45" customHeight="1">
      <c r="A8" s="131" t="s">
        <v>180</v>
      </c>
      <c r="B8" s="105">
        <v>308000</v>
      </c>
      <c r="C8" s="9">
        <v>228000</v>
      </c>
      <c r="D8" s="9">
        <v>178000</v>
      </c>
      <c r="E8" s="9">
        <v>11000</v>
      </c>
      <c r="F8" s="9">
        <v>40000</v>
      </c>
      <c r="G8" s="9">
        <v>47000</v>
      </c>
      <c r="H8" s="9">
        <v>30000</v>
      </c>
      <c r="I8" s="9">
        <v>17000</v>
      </c>
      <c r="J8" s="9">
        <v>33000</v>
      </c>
      <c r="K8" s="9">
        <v>20000</v>
      </c>
      <c r="L8" s="9">
        <v>13000</v>
      </c>
    </row>
    <row r="9" spans="1:13" ht="12.45" customHeight="1">
      <c r="A9" s="131" t="s">
        <v>181</v>
      </c>
      <c r="B9" s="105">
        <v>1937000</v>
      </c>
      <c r="C9" s="9">
        <v>1256000</v>
      </c>
      <c r="D9" s="9">
        <v>968000</v>
      </c>
      <c r="E9" s="9">
        <v>198000</v>
      </c>
      <c r="F9" s="9">
        <v>90000</v>
      </c>
      <c r="G9" s="9">
        <v>462000</v>
      </c>
      <c r="H9" s="9">
        <v>332000</v>
      </c>
      <c r="I9" s="9">
        <v>130000</v>
      </c>
      <c r="J9" s="9">
        <v>219000</v>
      </c>
      <c r="K9" s="9">
        <v>82000</v>
      </c>
      <c r="L9" s="9">
        <v>137000</v>
      </c>
    </row>
    <row r="10" spans="1:13" ht="12.45" customHeight="1">
      <c r="A10" s="131" t="s">
        <v>182</v>
      </c>
      <c r="B10" s="105">
        <v>325000</v>
      </c>
      <c r="C10" s="9">
        <v>207000</v>
      </c>
      <c r="D10" s="9">
        <v>144000</v>
      </c>
      <c r="E10" s="9">
        <v>27000</v>
      </c>
      <c r="F10" s="9">
        <v>36000</v>
      </c>
      <c r="G10" s="9">
        <v>17000</v>
      </c>
      <c r="H10" s="9">
        <v>12000</v>
      </c>
      <c r="I10" s="9">
        <v>5000</v>
      </c>
      <c r="J10" s="9">
        <v>100000</v>
      </c>
      <c r="K10" s="9">
        <v>42000</v>
      </c>
      <c r="L10" s="9">
        <v>58000</v>
      </c>
    </row>
    <row r="11" spans="1:13" ht="12.45" customHeight="1">
      <c r="A11" s="130" t="s">
        <v>183</v>
      </c>
      <c r="B11" s="105">
        <v>3147000</v>
      </c>
      <c r="C11" s="9">
        <v>2553000</v>
      </c>
      <c r="D11" s="9">
        <v>2310000</v>
      </c>
      <c r="E11" s="9">
        <v>146000</v>
      </c>
      <c r="F11" s="9">
        <v>96000</v>
      </c>
      <c r="G11" s="9">
        <v>329000</v>
      </c>
      <c r="H11" s="9">
        <v>168000</v>
      </c>
      <c r="I11" s="9">
        <v>162000</v>
      </c>
      <c r="J11" s="9">
        <v>265000</v>
      </c>
      <c r="K11" s="9">
        <v>140000</v>
      </c>
      <c r="L11" s="9">
        <v>126000</v>
      </c>
    </row>
    <row r="12" spans="1:13" ht="12.45" customHeight="1">
      <c r="A12" s="131" t="s">
        <v>184</v>
      </c>
      <c r="B12" s="105">
        <v>2493000</v>
      </c>
      <c r="C12" s="9">
        <v>2131000</v>
      </c>
      <c r="D12" s="9">
        <v>1945000</v>
      </c>
      <c r="E12" s="9">
        <v>117000</v>
      </c>
      <c r="F12" s="9">
        <v>69000</v>
      </c>
      <c r="G12" s="9">
        <v>157000</v>
      </c>
      <c r="H12" s="9">
        <v>102000</v>
      </c>
      <c r="I12" s="9">
        <v>55000</v>
      </c>
      <c r="J12" s="9">
        <v>206000</v>
      </c>
      <c r="K12" s="9">
        <v>94000</v>
      </c>
      <c r="L12" s="9">
        <v>111000</v>
      </c>
    </row>
    <row r="13" spans="1:13" ht="12.45" customHeight="1">
      <c r="A13" s="131" t="s">
        <v>185</v>
      </c>
      <c r="B13" s="105">
        <v>654000</v>
      </c>
      <c r="C13" s="9">
        <v>422000</v>
      </c>
      <c r="D13" s="9">
        <v>365000</v>
      </c>
      <c r="E13" s="9">
        <v>30000</v>
      </c>
      <c r="F13" s="9">
        <v>27000</v>
      </c>
      <c r="G13" s="9">
        <v>172000</v>
      </c>
      <c r="H13" s="9">
        <v>66000</v>
      </c>
      <c r="I13" s="9">
        <v>107000</v>
      </c>
      <c r="J13" s="9">
        <v>60000</v>
      </c>
      <c r="K13" s="9">
        <v>45000</v>
      </c>
      <c r="L13" s="9">
        <v>14000</v>
      </c>
    </row>
    <row r="14" spans="1:13" ht="12.45" customHeight="1">
      <c r="A14" s="130" t="s">
        <v>186</v>
      </c>
      <c r="B14" s="105">
        <v>906000</v>
      </c>
      <c r="C14" s="9">
        <v>572000</v>
      </c>
      <c r="D14" s="9">
        <v>498000</v>
      </c>
      <c r="E14" s="9">
        <v>37000</v>
      </c>
      <c r="F14" s="9">
        <v>37000</v>
      </c>
      <c r="G14" s="9">
        <v>218000</v>
      </c>
      <c r="H14" s="9">
        <v>155000</v>
      </c>
      <c r="I14" s="9">
        <v>62000</v>
      </c>
      <c r="J14" s="9">
        <v>116000</v>
      </c>
      <c r="K14" s="9">
        <v>61000</v>
      </c>
      <c r="L14" s="9">
        <v>55000</v>
      </c>
    </row>
    <row r="15" spans="1:13" ht="12.45" customHeight="1">
      <c r="A15" s="131" t="s">
        <v>187</v>
      </c>
      <c r="B15" s="105">
        <v>376000</v>
      </c>
      <c r="C15" s="9">
        <v>261000</v>
      </c>
      <c r="D15" s="9">
        <v>236000</v>
      </c>
      <c r="E15" s="9">
        <v>11000</v>
      </c>
      <c r="F15" s="9">
        <v>14000</v>
      </c>
      <c r="G15" s="9">
        <v>85000</v>
      </c>
      <c r="H15" s="9">
        <v>64000</v>
      </c>
      <c r="I15" s="9">
        <v>20000</v>
      </c>
      <c r="J15" s="9">
        <v>30000</v>
      </c>
      <c r="K15" s="9">
        <v>14000</v>
      </c>
      <c r="L15" s="9">
        <v>16000</v>
      </c>
    </row>
    <row r="16" spans="1:13" ht="12.45" customHeight="1">
      <c r="A16" s="131" t="s">
        <v>188</v>
      </c>
      <c r="B16" s="105">
        <v>263000</v>
      </c>
      <c r="C16" s="9">
        <v>155000</v>
      </c>
      <c r="D16" s="9">
        <v>130000</v>
      </c>
      <c r="E16" s="9">
        <v>13000</v>
      </c>
      <c r="F16" s="9">
        <v>12000</v>
      </c>
      <c r="G16" s="9">
        <v>52000</v>
      </c>
      <c r="H16" s="9">
        <v>27000</v>
      </c>
      <c r="I16" s="13" t="s">
        <v>191</v>
      </c>
      <c r="J16" s="9">
        <v>57000</v>
      </c>
      <c r="K16" s="9">
        <v>24000</v>
      </c>
      <c r="L16" s="9">
        <v>32000</v>
      </c>
    </row>
    <row r="17" spans="1:12" ht="12.45" customHeight="1">
      <c r="A17" s="131" t="s">
        <v>189</v>
      </c>
      <c r="B17" s="105">
        <v>240000</v>
      </c>
      <c r="C17" s="9">
        <v>140000</v>
      </c>
      <c r="D17" s="9">
        <v>124000</v>
      </c>
      <c r="E17" s="9">
        <v>9000</v>
      </c>
      <c r="F17" s="9">
        <v>7000</v>
      </c>
      <c r="G17" s="9">
        <v>79000</v>
      </c>
      <c r="H17" s="9">
        <v>63000</v>
      </c>
      <c r="I17" s="9">
        <v>16000</v>
      </c>
      <c r="J17" s="9">
        <v>21000</v>
      </c>
      <c r="K17" s="9">
        <v>18000</v>
      </c>
      <c r="L17" s="9">
        <v>4000</v>
      </c>
    </row>
    <row r="18" spans="1:12" ht="12.45" customHeight="1">
      <c r="A18" s="131" t="s">
        <v>190</v>
      </c>
      <c r="B18" s="105">
        <v>26000</v>
      </c>
      <c r="C18" s="9">
        <v>16000</v>
      </c>
      <c r="D18" s="9">
        <v>8000</v>
      </c>
      <c r="E18" s="13" t="s">
        <v>191</v>
      </c>
      <c r="F18" s="13" t="s">
        <v>191</v>
      </c>
      <c r="G18" s="9">
        <v>3000</v>
      </c>
      <c r="H18" s="9">
        <v>1000</v>
      </c>
      <c r="I18" s="9">
        <v>2000</v>
      </c>
      <c r="J18" s="9">
        <v>8000</v>
      </c>
      <c r="K18" s="9">
        <v>4000</v>
      </c>
      <c r="L18" s="9">
        <v>3000</v>
      </c>
    </row>
    <row r="19" spans="1:12" ht="12.45" customHeight="1">
      <c r="A19" s="130" t="s">
        <v>192</v>
      </c>
      <c r="B19" s="105">
        <v>5774000</v>
      </c>
      <c r="C19" s="9">
        <v>3957000</v>
      </c>
      <c r="D19" s="9">
        <v>2843000</v>
      </c>
      <c r="E19" s="9">
        <v>679000</v>
      </c>
      <c r="F19" s="9">
        <v>435000</v>
      </c>
      <c r="G19" s="9">
        <v>1031000</v>
      </c>
      <c r="H19" s="9">
        <v>471000</v>
      </c>
      <c r="I19" s="9">
        <v>560000</v>
      </c>
      <c r="J19" s="9">
        <v>785000</v>
      </c>
      <c r="K19" s="9">
        <v>278000</v>
      </c>
      <c r="L19" s="9">
        <v>507000</v>
      </c>
    </row>
    <row r="20" spans="1:12" ht="12.45" customHeight="1">
      <c r="A20" s="131" t="s">
        <v>193</v>
      </c>
      <c r="B20" s="105">
        <v>869000</v>
      </c>
      <c r="C20" s="9">
        <v>718000</v>
      </c>
      <c r="D20" s="9">
        <v>633000</v>
      </c>
      <c r="E20" s="9">
        <v>28000</v>
      </c>
      <c r="F20" s="9">
        <v>58000</v>
      </c>
      <c r="G20" s="9">
        <v>65000</v>
      </c>
      <c r="H20" s="9">
        <v>46000</v>
      </c>
      <c r="I20" s="9">
        <v>19000</v>
      </c>
      <c r="J20" s="9">
        <v>85000</v>
      </c>
      <c r="K20" s="9">
        <v>44000</v>
      </c>
      <c r="L20" s="9">
        <v>41000</v>
      </c>
    </row>
    <row r="21" spans="1:12" ht="12.45" customHeight="1">
      <c r="A21" s="131" t="s">
        <v>194</v>
      </c>
      <c r="B21" s="105">
        <v>1039000</v>
      </c>
      <c r="C21" s="9">
        <v>749000</v>
      </c>
      <c r="D21" s="9">
        <v>577000</v>
      </c>
      <c r="E21" s="9">
        <v>101000</v>
      </c>
      <c r="F21" s="9">
        <v>71000</v>
      </c>
      <c r="G21" s="9">
        <v>113000</v>
      </c>
      <c r="H21" s="9">
        <v>66000</v>
      </c>
      <c r="I21" s="9">
        <v>47000</v>
      </c>
      <c r="J21" s="9">
        <v>177000</v>
      </c>
      <c r="K21" s="9">
        <v>105000</v>
      </c>
      <c r="L21" s="9">
        <v>72000</v>
      </c>
    </row>
    <row r="22" spans="1:12" ht="12.45" customHeight="1">
      <c r="A22" s="131" t="s">
        <v>195</v>
      </c>
      <c r="B22" s="105">
        <v>2336000</v>
      </c>
      <c r="C22" s="9">
        <v>1510000</v>
      </c>
      <c r="D22" s="9">
        <v>948000</v>
      </c>
      <c r="E22" s="9">
        <v>359000</v>
      </c>
      <c r="F22" s="9">
        <v>203000</v>
      </c>
      <c r="G22" s="9">
        <v>552000</v>
      </c>
      <c r="H22" s="9">
        <v>205000</v>
      </c>
      <c r="I22" s="9">
        <v>348000</v>
      </c>
      <c r="J22" s="9">
        <v>274000</v>
      </c>
      <c r="K22" s="9">
        <v>69000</v>
      </c>
      <c r="L22" s="9">
        <v>204000</v>
      </c>
    </row>
    <row r="23" spans="1:12" ht="12.45" customHeight="1">
      <c r="A23" s="131" t="s">
        <v>196</v>
      </c>
      <c r="B23" s="105">
        <v>929000</v>
      </c>
      <c r="C23" s="9">
        <v>597000</v>
      </c>
      <c r="D23" s="9">
        <v>438000</v>
      </c>
      <c r="E23" s="9">
        <v>97000</v>
      </c>
      <c r="F23" s="9">
        <v>63000</v>
      </c>
      <c r="G23" s="9">
        <v>156000</v>
      </c>
      <c r="H23" s="9">
        <v>84000</v>
      </c>
      <c r="I23" s="9">
        <v>73000</v>
      </c>
      <c r="J23" s="9">
        <v>176000</v>
      </c>
      <c r="K23" s="9">
        <v>38000</v>
      </c>
      <c r="L23" s="9">
        <v>138000</v>
      </c>
    </row>
    <row r="24" spans="1:12" ht="12.45" customHeight="1">
      <c r="A24" s="131" t="s">
        <v>197</v>
      </c>
      <c r="B24" s="105">
        <v>600000</v>
      </c>
      <c r="C24" s="9">
        <v>382000</v>
      </c>
      <c r="D24" s="9">
        <v>247000</v>
      </c>
      <c r="E24" s="9">
        <v>95000</v>
      </c>
      <c r="F24" s="9">
        <v>40000</v>
      </c>
      <c r="G24" s="9">
        <v>145000</v>
      </c>
      <c r="H24" s="9">
        <v>70000</v>
      </c>
      <c r="I24" s="9">
        <v>74000</v>
      </c>
      <c r="J24" s="9">
        <v>74000</v>
      </c>
      <c r="K24" s="9">
        <v>22000</v>
      </c>
      <c r="L24" s="9">
        <v>51000</v>
      </c>
    </row>
    <row r="25" spans="1:12" ht="12.45" customHeight="1">
      <c r="A25" s="130" t="s">
        <v>198</v>
      </c>
      <c r="B25" s="105">
        <v>4011000</v>
      </c>
      <c r="C25" s="9">
        <v>3388000</v>
      </c>
      <c r="D25" s="9">
        <v>3141000</v>
      </c>
      <c r="E25" s="9">
        <v>97000</v>
      </c>
      <c r="F25" s="9">
        <v>150000</v>
      </c>
      <c r="G25" s="9">
        <v>250000</v>
      </c>
      <c r="H25" s="9">
        <v>206000</v>
      </c>
      <c r="I25" s="9">
        <v>44000</v>
      </c>
      <c r="J25" s="9">
        <v>373000</v>
      </c>
      <c r="K25" s="9">
        <v>201000</v>
      </c>
      <c r="L25" s="9">
        <v>172000</v>
      </c>
    </row>
    <row r="26" spans="1:12" ht="12.45" customHeight="1">
      <c r="A26" s="131" t="s">
        <v>199</v>
      </c>
      <c r="B26" s="105">
        <v>145000</v>
      </c>
      <c r="C26" s="9">
        <v>109000</v>
      </c>
      <c r="D26" s="9">
        <v>100000</v>
      </c>
      <c r="E26" s="9">
        <v>3000</v>
      </c>
      <c r="F26" s="9">
        <v>6000</v>
      </c>
      <c r="G26" s="9">
        <v>14000</v>
      </c>
      <c r="H26" s="9">
        <v>12000</v>
      </c>
      <c r="I26" s="13" t="s">
        <v>191</v>
      </c>
      <c r="J26" s="9">
        <v>23000</v>
      </c>
      <c r="K26" s="9">
        <v>22000</v>
      </c>
      <c r="L26" s="13" t="s">
        <v>220</v>
      </c>
    </row>
    <row r="27" spans="1:12" ht="12.45" customHeight="1">
      <c r="A27" s="131" t="s">
        <v>200</v>
      </c>
      <c r="B27" s="105">
        <v>269000</v>
      </c>
      <c r="C27" s="9">
        <v>237000</v>
      </c>
      <c r="D27" s="9">
        <v>220000</v>
      </c>
      <c r="E27" s="9">
        <v>7000</v>
      </c>
      <c r="F27" s="9">
        <v>11000</v>
      </c>
      <c r="G27" s="9">
        <v>17000</v>
      </c>
      <c r="H27" s="9">
        <v>13000</v>
      </c>
      <c r="I27" s="13" t="s">
        <v>191</v>
      </c>
      <c r="J27" s="9">
        <v>15000</v>
      </c>
      <c r="K27" s="9">
        <v>6000</v>
      </c>
      <c r="L27" s="9">
        <v>8000</v>
      </c>
    </row>
    <row r="28" spans="1:12" ht="12.45" customHeight="1">
      <c r="A28" s="131" t="s">
        <v>201</v>
      </c>
      <c r="B28" s="105">
        <v>543000</v>
      </c>
      <c r="C28" s="9">
        <v>399000</v>
      </c>
      <c r="D28" s="9">
        <v>368000</v>
      </c>
      <c r="E28" s="9">
        <v>7000</v>
      </c>
      <c r="F28" s="9">
        <v>23000</v>
      </c>
      <c r="G28" s="9">
        <v>29000</v>
      </c>
      <c r="H28" s="9">
        <v>22000</v>
      </c>
      <c r="I28" s="9">
        <v>7000</v>
      </c>
      <c r="J28" s="9">
        <v>116000</v>
      </c>
      <c r="K28" s="9">
        <v>21000</v>
      </c>
      <c r="L28" s="9">
        <v>94000</v>
      </c>
    </row>
    <row r="29" spans="1:12" ht="12.45" customHeight="1">
      <c r="A29" s="131" t="s">
        <v>202</v>
      </c>
      <c r="B29" s="105">
        <v>1409000</v>
      </c>
      <c r="C29" s="9">
        <v>1242000</v>
      </c>
      <c r="D29" s="9">
        <v>1155000</v>
      </c>
      <c r="E29" s="9">
        <v>43000</v>
      </c>
      <c r="F29" s="9">
        <v>44000</v>
      </c>
      <c r="G29" s="9">
        <v>82000</v>
      </c>
      <c r="H29" s="9">
        <v>67000</v>
      </c>
      <c r="I29" s="9">
        <v>14000</v>
      </c>
      <c r="J29" s="9">
        <v>85000</v>
      </c>
      <c r="K29" s="9">
        <v>59000</v>
      </c>
      <c r="L29" s="9">
        <v>26000</v>
      </c>
    </row>
    <row r="30" spans="1:12" ht="12.45" customHeight="1">
      <c r="A30" s="131" t="s">
        <v>203</v>
      </c>
      <c r="B30" s="105">
        <v>230000</v>
      </c>
      <c r="C30" s="9">
        <v>212000</v>
      </c>
      <c r="D30" s="9">
        <v>194000</v>
      </c>
      <c r="E30" s="9">
        <v>7000</v>
      </c>
      <c r="F30" s="9">
        <v>11000</v>
      </c>
      <c r="G30" s="9">
        <v>9000</v>
      </c>
      <c r="H30" s="9">
        <v>7000</v>
      </c>
      <c r="I30" s="9">
        <v>2000</v>
      </c>
      <c r="J30" s="9">
        <v>9000</v>
      </c>
      <c r="K30" s="9">
        <v>7000</v>
      </c>
      <c r="L30" s="9">
        <v>2000</v>
      </c>
    </row>
    <row r="31" spans="1:12" ht="12.45" customHeight="1">
      <c r="A31" s="131" t="s">
        <v>204</v>
      </c>
      <c r="B31" s="105">
        <v>848000</v>
      </c>
      <c r="C31" s="9">
        <v>734000</v>
      </c>
      <c r="D31" s="9">
        <v>684000</v>
      </c>
      <c r="E31" s="9">
        <v>17000</v>
      </c>
      <c r="F31" s="9">
        <v>33000</v>
      </c>
      <c r="G31" s="9">
        <v>50000</v>
      </c>
      <c r="H31" s="9">
        <v>42000</v>
      </c>
      <c r="I31" s="9">
        <v>8000</v>
      </c>
      <c r="J31" s="9">
        <v>64000</v>
      </c>
      <c r="K31" s="9">
        <v>46000</v>
      </c>
      <c r="L31" s="9">
        <v>18000</v>
      </c>
    </row>
    <row r="32" spans="1:12" ht="12.45" customHeight="1">
      <c r="A32" s="131" t="s">
        <v>205</v>
      </c>
      <c r="B32" s="105">
        <v>567000</v>
      </c>
      <c r="C32" s="9">
        <v>455000</v>
      </c>
      <c r="D32" s="9">
        <v>420000</v>
      </c>
      <c r="E32" s="9">
        <v>13000</v>
      </c>
      <c r="F32" s="9">
        <v>23000</v>
      </c>
      <c r="G32" s="9">
        <v>50000</v>
      </c>
      <c r="H32" s="9">
        <v>44000</v>
      </c>
      <c r="I32" s="9">
        <v>6000</v>
      </c>
      <c r="J32" s="9">
        <v>62000</v>
      </c>
      <c r="K32" s="9">
        <v>39000</v>
      </c>
      <c r="L32" s="9">
        <v>23000</v>
      </c>
    </row>
    <row r="33" spans="1:12" ht="12.45" customHeight="1">
      <c r="A33" s="129" t="s">
        <v>206</v>
      </c>
      <c r="B33" s="105">
        <v>7822000</v>
      </c>
      <c r="C33" s="9">
        <v>5881000</v>
      </c>
      <c r="D33" s="9">
        <v>3649000</v>
      </c>
      <c r="E33" s="9">
        <v>1800000</v>
      </c>
      <c r="F33" s="9">
        <v>432000</v>
      </c>
      <c r="G33" s="9">
        <v>1304000</v>
      </c>
      <c r="H33" s="9">
        <v>659000</v>
      </c>
      <c r="I33" s="9">
        <v>645000</v>
      </c>
      <c r="J33" s="9">
        <v>636000</v>
      </c>
      <c r="K33" s="9">
        <v>280000</v>
      </c>
      <c r="L33" s="9">
        <v>356000</v>
      </c>
    </row>
    <row r="34" spans="1:12" ht="12.45" customHeight="1">
      <c r="A34" s="130" t="s">
        <v>207</v>
      </c>
      <c r="B34" s="105">
        <v>6364000</v>
      </c>
      <c r="C34" s="9">
        <v>4927000</v>
      </c>
      <c r="D34" s="9">
        <v>2855000</v>
      </c>
      <c r="E34" s="9">
        <v>1737000</v>
      </c>
      <c r="F34" s="9">
        <v>335000</v>
      </c>
      <c r="G34" s="9">
        <v>923000</v>
      </c>
      <c r="H34" s="9">
        <v>602000</v>
      </c>
      <c r="I34" s="9">
        <v>321000</v>
      </c>
      <c r="J34" s="9">
        <v>514000</v>
      </c>
      <c r="K34" s="9">
        <v>241000</v>
      </c>
      <c r="L34" s="9">
        <v>273000</v>
      </c>
    </row>
    <row r="35" spans="1:12" ht="12.45" customHeight="1">
      <c r="A35" s="130" t="s">
        <v>208</v>
      </c>
      <c r="B35" s="105">
        <v>429000</v>
      </c>
      <c r="C35" s="9">
        <v>110000</v>
      </c>
      <c r="D35" s="9">
        <v>79000</v>
      </c>
      <c r="E35" s="13" t="s">
        <v>191</v>
      </c>
      <c r="F35" s="9">
        <v>13000</v>
      </c>
      <c r="G35" s="9">
        <v>311000</v>
      </c>
      <c r="H35" s="9">
        <v>23000</v>
      </c>
      <c r="I35" s="9">
        <v>289000</v>
      </c>
      <c r="J35" s="9">
        <v>7000</v>
      </c>
      <c r="K35" s="13" t="s">
        <v>191</v>
      </c>
      <c r="L35" s="13" t="s">
        <v>191</v>
      </c>
    </row>
    <row r="36" spans="1:12" ht="12.45" customHeight="1">
      <c r="A36" s="130" t="s">
        <v>209</v>
      </c>
      <c r="B36" s="105">
        <v>488000</v>
      </c>
      <c r="C36" s="9">
        <v>410000</v>
      </c>
      <c r="D36" s="9">
        <v>368000</v>
      </c>
      <c r="E36" s="9">
        <v>15000</v>
      </c>
      <c r="F36" s="9">
        <v>28000</v>
      </c>
      <c r="G36" s="9">
        <v>32000</v>
      </c>
      <c r="H36" s="9">
        <v>9000</v>
      </c>
      <c r="I36" s="9">
        <v>22000</v>
      </c>
      <c r="J36" s="9">
        <v>46000</v>
      </c>
      <c r="K36" s="9">
        <v>26000</v>
      </c>
      <c r="L36" s="9">
        <v>19000</v>
      </c>
    </row>
    <row r="37" spans="1:12" ht="12.45" customHeight="1">
      <c r="A37" s="130" t="s">
        <v>210</v>
      </c>
      <c r="B37" s="105">
        <v>541000</v>
      </c>
      <c r="C37" s="9">
        <v>434000</v>
      </c>
      <c r="D37" s="9">
        <v>348000</v>
      </c>
      <c r="E37" s="9">
        <v>31000</v>
      </c>
      <c r="F37" s="9">
        <v>55000</v>
      </c>
      <c r="G37" s="9">
        <v>38000</v>
      </c>
      <c r="H37" s="9">
        <v>25000</v>
      </c>
      <c r="I37" s="9">
        <v>13000</v>
      </c>
      <c r="J37" s="9">
        <v>69000</v>
      </c>
      <c r="K37" s="9">
        <v>10000</v>
      </c>
      <c r="L37" s="9">
        <v>59000</v>
      </c>
    </row>
    <row r="38" spans="1:12" ht="12.45" customHeight="1">
      <c r="A38" s="129" t="s">
        <v>211</v>
      </c>
      <c r="B38" s="105">
        <v>27535000</v>
      </c>
      <c r="C38" s="9">
        <v>18304000</v>
      </c>
      <c r="D38" s="9">
        <v>13935000</v>
      </c>
      <c r="E38" s="9">
        <v>2242000</v>
      </c>
      <c r="F38" s="9">
        <v>2127000</v>
      </c>
      <c r="G38" s="9">
        <v>6320000</v>
      </c>
      <c r="H38" s="9">
        <v>1309000</v>
      </c>
      <c r="I38" s="9">
        <v>5012000</v>
      </c>
      <c r="J38" s="9">
        <v>2911000</v>
      </c>
      <c r="K38" s="9">
        <v>1009000</v>
      </c>
      <c r="L38" s="9">
        <v>1901000</v>
      </c>
    </row>
    <row r="39" spans="1:12" ht="12.45" customHeight="1">
      <c r="A39" s="130" t="s">
        <v>212</v>
      </c>
      <c r="B39" s="105">
        <v>9480000</v>
      </c>
      <c r="C39" s="9">
        <v>7988000</v>
      </c>
      <c r="D39" s="9">
        <v>6749000</v>
      </c>
      <c r="E39" s="9">
        <v>613000</v>
      </c>
      <c r="F39" s="9">
        <v>626000</v>
      </c>
      <c r="G39" s="9">
        <v>546000</v>
      </c>
      <c r="H39" s="9">
        <v>255000</v>
      </c>
      <c r="I39" s="9">
        <v>291000</v>
      </c>
      <c r="J39" s="9">
        <v>946000</v>
      </c>
      <c r="K39" s="9">
        <v>448000</v>
      </c>
      <c r="L39" s="9">
        <v>498000</v>
      </c>
    </row>
    <row r="40" spans="1:12">
      <c r="A40" s="130" t="s">
        <v>213</v>
      </c>
      <c r="B40" s="107">
        <v>5019000</v>
      </c>
      <c r="C40" s="7">
        <v>1150000</v>
      </c>
      <c r="D40" s="7">
        <v>714000</v>
      </c>
      <c r="E40" s="7">
        <v>205000</v>
      </c>
      <c r="F40" s="7">
        <v>231000</v>
      </c>
      <c r="G40" s="7">
        <v>3687000</v>
      </c>
      <c r="H40" s="7">
        <v>291000</v>
      </c>
      <c r="I40" s="7">
        <v>3396000</v>
      </c>
      <c r="J40" s="7">
        <v>182000</v>
      </c>
      <c r="K40" s="7">
        <v>25000</v>
      </c>
      <c r="L40" s="7">
        <v>157000</v>
      </c>
    </row>
    <row r="41" spans="1:12">
      <c r="A41" s="130" t="s">
        <v>214</v>
      </c>
      <c r="B41" s="105">
        <v>1466000</v>
      </c>
      <c r="C41" s="9">
        <v>986000</v>
      </c>
      <c r="D41" s="9">
        <v>429000</v>
      </c>
      <c r="E41" s="9">
        <v>472000</v>
      </c>
      <c r="F41" s="9">
        <v>85000</v>
      </c>
      <c r="G41" s="9">
        <v>279000</v>
      </c>
      <c r="H41" s="9">
        <v>101000</v>
      </c>
      <c r="I41" s="9">
        <v>178000</v>
      </c>
      <c r="J41" s="9">
        <v>200000</v>
      </c>
      <c r="K41" s="9">
        <v>45000</v>
      </c>
      <c r="L41" s="9">
        <v>155000</v>
      </c>
    </row>
    <row r="42" spans="1:12">
      <c r="A42" s="130" t="s">
        <v>215</v>
      </c>
      <c r="B42" s="105">
        <v>1293000</v>
      </c>
      <c r="C42" s="9">
        <v>1143000</v>
      </c>
      <c r="D42" s="9">
        <v>941000</v>
      </c>
      <c r="E42" s="9">
        <v>66000</v>
      </c>
      <c r="F42" s="9">
        <v>136000</v>
      </c>
      <c r="G42" s="9">
        <v>90000</v>
      </c>
      <c r="H42" s="9">
        <v>27000</v>
      </c>
      <c r="I42" s="9">
        <v>64000</v>
      </c>
      <c r="J42" s="9">
        <v>59000</v>
      </c>
      <c r="K42" s="9">
        <v>19000</v>
      </c>
      <c r="L42" s="9">
        <v>40000</v>
      </c>
    </row>
    <row r="43" spans="1:12">
      <c r="A43" s="130" t="s">
        <v>216</v>
      </c>
      <c r="B43" s="105">
        <v>4526000</v>
      </c>
      <c r="C43" s="9">
        <v>3174000</v>
      </c>
      <c r="D43" s="9">
        <v>2220000</v>
      </c>
      <c r="E43" s="9">
        <v>404000</v>
      </c>
      <c r="F43" s="9">
        <v>549000</v>
      </c>
      <c r="G43" s="9">
        <v>1045000</v>
      </c>
      <c r="H43" s="9">
        <v>358000</v>
      </c>
      <c r="I43" s="9">
        <v>687000</v>
      </c>
      <c r="J43" s="9">
        <v>307000</v>
      </c>
      <c r="K43" s="9">
        <v>112000</v>
      </c>
      <c r="L43" s="9">
        <v>195000</v>
      </c>
    </row>
    <row r="44" spans="1:12">
      <c r="A44" s="130" t="s">
        <v>217</v>
      </c>
      <c r="B44" s="105">
        <v>5752000</v>
      </c>
      <c r="C44" s="9">
        <v>3862000</v>
      </c>
      <c r="D44" s="9">
        <v>2881000</v>
      </c>
      <c r="E44" s="9">
        <v>481000</v>
      </c>
      <c r="F44" s="9">
        <v>500000</v>
      </c>
      <c r="G44" s="9">
        <v>672000</v>
      </c>
      <c r="H44" s="9">
        <v>277000</v>
      </c>
      <c r="I44" s="9">
        <v>395000</v>
      </c>
      <c r="J44" s="9">
        <v>1217000</v>
      </c>
      <c r="K44" s="9">
        <v>360000</v>
      </c>
      <c r="L44" s="9">
        <v>857000</v>
      </c>
    </row>
    <row r="45" spans="1:12">
      <c r="A45" s="125" t="s">
        <v>218</v>
      </c>
      <c r="B45" s="124">
        <v>31688000</v>
      </c>
      <c r="C45" s="119">
        <v>24232000</v>
      </c>
      <c r="D45" s="119">
        <v>18921000</v>
      </c>
      <c r="E45" s="119">
        <v>3045000</v>
      </c>
      <c r="F45" s="119">
        <v>2266000</v>
      </c>
      <c r="G45" s="119">
        <v>4205000</v>
      </c>
      <c r="H45" s="119">
        <v>1161000</v>
      </c>
      <c r="I45" s="119">
        <v>3044000</v>
      </c>
      <c r="J45" s="119">
        <v>3252000</v>
      </c>
      <c r="K45" s="119">
        <v>1105000</v>
      </c>
      <c r="L45" s="119">
        <v>2147000</v>
      </c>
    </row>
    <row r="46" spans="1:12">
      <c r="A46" s="120" t="s">
        <v>178</v>
      </c>
      <c r="B46" s="105">
        <v>11377000</v>
      </c>
      <c r="C46" s="9">
        <v>8905000</v>
      </c>
      <c r="D46" s="9">
        <v>7461000</v>
      </c>
      <c r="E46" s="9">
        <v>782000</v>
      </c>
      <c r="F46" s="9">
        <v>662000</v>
      </c>
      <c r="G46" s="9">
        <v>1154000</v>
      </c>
      <c r="H46" s="9">
        <v>532000</v>
      </c>
      <c r="I46" s="9">
        <v>622000</v>
      </c>
      <c r="J46" s="9">
        <v>1318000</v>
      </c>
      <c r="K46" s="9">
        <v>499000</v>
      </c>
      <c r="L46" s="9">
        <v>820000</v>
      </c>
    </row>
    <row r="47" spans="1:12">
      <c r="A47" s="121" t="s">
        <v>179</v>
      </c>
      <c r="B47" s="105">
        <v>1773000</v>
      </c>
      <c r="C47" s="9">
        <v>1301000</v>
      </c>
      <c r="D47" s="9">
        <v>989000</v>
      </c>
      <c r="E47" s="9">
        <v>166000</v>
      </c>
      <c r="F47" s="9">
        <v>145000</v>
      </c>
      <c r="G47" s="9">
        <v>227000</v>
      </c>
      <c r="H47" s="9">
        <v>138000</v>
      </c>
      <c r="I47" s="9">
        <v>88000</v>
      </c>
      <c r="J47" s="9">
        <v>245000</v>
      </c>
      <c r="K47" s="9">
        <v>82000</v>
      </c>
      <c r="L47" s="9">
        <v>163000</v>
      </c>
    </row>
    <row r="48" spans="1:12">
      <c r="A48" s="122" t="s">
        <v>180</v>
      </c>
      <c r="B48" s="105">
        <v>239000</v>
      </c>
      <c r="C48" s="9">
        <v>189000</v>
      </c>
      <c r="D48" s="9">
        <v>142000</v>
      </c>
      <c r="E48" s="9">
        <v>9000</v>
      </c>
      <c r="F48" s="9">
        <v>38000</v>
      </c>
      <c r="G48" s="9">
        <v>24000</v>
      </c>
      <c r="H48" s="9">
        <v>10000</v>
      </c>
      <c r="I48" s="9">
        <v>14000</v>
      </c>
      <c r="J48" s="9">
        <v>27000</v>
      </c>
      <c r="K48" s="9">
        <v>16000</v>
      </c>
      <c r="L48" s="9">
        <v>11000</v>
      </c>
    </row>
    <row r="49" spans="1:12">
      <c r="A49" s="122" t="s">
        <v>181</v>
      </c>
      <c r="B49" s="105">
        <v>1301000</v>
      </c>
      <c r="C49" s="9">
        <v>955000</v>
      </c>
      <c r="D49" s="9">
        <v>742000</v>
      </c>
      <c r="E49" s="9">
        <v>141000</v>
      </c>
      <c r="F49" s="9">
        <v>72000</v>
      </c>
      <c r="G49" s="9">
        <v>198000</v>
      </c>
      <c r="H49" s="9">
        <v>124000</v>
      </c>
      <c r="I49" s="9">
        <v>74000</v>
      </c>
      <c r="J49" s="9">
        <v>148000</v>
      </c>
      <c r="K49" s="9">
        <v>36000</v>
      </c>
      <c r="L49" s="9">
        <v>112000</v>
      </c>
    </row>
    <row r="50" spans="1:12">
      <c r="A50" s="122" t="s">
        <v>182</v>
      </c>
      <c r="B50" s="105">
        <v>232000</v>
      </c>
      <c r="C50" s="9">
        <v>157000</v>
      </c>
      <c r="D50" s="9">
        <v>106000</v>
      </c>
      <c r="E50" s="9">
        <v>16000</v>
      </c>
      <c r="F50" s="9">
        <v>35000</v>
      </c>
      <c r="G50" s="9">
        <v>5000</v>
      </c>
      <c r="H50" s="9">
        <v>4000</v>
      </c>
      <c r="I50" s="9">
        <v>1000</v>
      </c>
      <c r="J50" s="9">
        <v>70000</v>
      </c>
      <c r="K50" s="9">
        <v>30000</v>
      </c>
      <c r="L50" s="9">
        <v>40000</v>
      </c>
    </row>
    <row r="51" spans="1:12">
      <c r="A51" s="121" t="s">
        <v>183</v>
      </c>
      <c r="B51" s="105">
        <v>2133000</v>
      </c>
      <c r="C51" s="9">
        <v>1775000</v>
      </c>
      <c r="D51" s="9">
        <v>1607000</v>
      </c>
      <c r="E51" s="9">
        <v>99000</v>
      </c>
      <c r="F51" s="9">
        <v>68000</v>
      </c>
      <c r="G51" s="9">
        <v>171000</v>
      </c>
      <c r="H51" s="9">
        <v>56000</v>
      </c>
      <c r="I51" s="9">
        <v>115000</v>
      </c>
      <c r="J51" s="9">
        <v>188000</v>
      </c>
      <c r="K51" s="9">
        <v>97000</v>
      </c>
      <c r="L51" s="9">
        <v>91000</v>
      </c>
    </row>
    <row r="52" spans="1:12">
      <c r="A52" s="122" t="s">
        <v>184</v>
      </c>
      <c r="B52" s="105">
        <v>1694000</v>
      </c>
      <c r="C52" s="9">
        <v>1468000</v>
      </c>
      <c r="D52" s="9">
        <v>1338000</v>
      </c>
      <c r="E52" s="9">
        <v>78000</v>
      </c>
      <c r="F52" s="9">
        <v>51000</v>
      </c>
      <c r="G52" s="9">
        <v>81000</v>
      </c>
      <c r="H52" s="9">
        <v>43000</v>
      </c>
      <c r="I52" s="9">
        <v>38000</v>
      </c>
      <c r="J52" s="9">
        <v>145000</v>
      </c>
      <c r="K52" s="9">
        <v>63000</v>
      </c>
      <c r="L52" s="9">
        <v>81000</v>
      </c>
    </row>
    <row r="53" spans="1:12">
      <c r="A53" s="122" t="s">
        <v>185</v>
      </c>
      <c r="B53" s="105">
        <v>440000</v>
      </c>
      <c r="C53" s="9">
        <v>307000</v>
      </c>
      <c r="D53" s="9">
        <v>269000</v>
      </c>
      <c r="E53" s="9">
        <v>21000</v>
      </c>
      <c r="F53" s="9">
        <v>17000</v>
      </c>
      <c r="G53" s="9">
        <v>90000</v>
      </c>
      <c r="H53" s="9">
        <v>13000</v>
      </c>
      <c r="I53" s="9">
        <v>77000</v>
      </c>
      <c r="J53" s="9">
        <v>43000</v>
      </c>
      <c r="K53" s="13" t="s">
        <v>191</v>
      </c>
      <c r="L53" s="9">
        <v>9000</v>
      </c>
    </row>
    <row r="54" spans="1:12">
      <c r="A54" s="121" t="s">
        <v>186</v>
      </c>
      <c r="B54" s="105">
        <v>517000</v>
      </c>
      <c r="C54" s="9">
        <v>349000</v>
      </c>
      <c r="D54" s="9">
        <v>301000</v>
      </c>
      <c r="E54" s="9">
        <v>22000</v>
      </c>
      <c r="F54" s="9">
        <v>26000</v>
      </c>
      <c r="G54" s="9">
        <v>97000</v>
      </c>
      <c r="H54" s="9">
        <v>56000</v>
      </c>
      <c r="I54" s="9">
        <v>41000</v>
      </c>
      <c r="J54" s="9">
        <v>70000</v>
      </c>
      <c r="K54" s="9">
        <v>26000</v>
      </c>
      <c r="L54" s="9">
        <v>44000</v>
      </c>
    </row>
    <row r="55" spans="1:12">
      <c r="A55" s="122" t="s">
        <v>187</v>
      </c>
      <c r="B55" s="105">
        <v>221000</v>
      </c>
      <c r="C55" s="9">
        <v>163000</v>
      </c>
      <c r="D55" s="9">
        <v>148000</v>
      </c>
      <c r="E55" s="9">
        <v>7000</v>
      </c>
      <c r="F55" s="9">
        <v>9000</v>
      </c>
      <c r="G55" s="9">
        <v>39000</v>
      </c>
      <c r="H55" s="9">
        <v>30000</v>
      </c>
      <c r="I55" s="9">
        <v>9000</v>
      </c>
      <c r="J55" s="9">
        <v>20000</v>
      </c>
      <c r="K55" s="9">
        <v>6000</v>
      </c>
      <c r="L55" s="9">
        <v>13000</v>
      </c>
    </row>
    <row r="56" spans="1:12">
      <c r="A56" s="122" t="s">
        <v>188</v>
      </c>
      <c r="B56" s="105">
        <v>172000</v>
      </c>
      <c r="C56" s="9">
        <v>106000</v>
      </c>
      <c r="D56" s="9">
        <v>88000</v>
      </c>
      <c r="E56" s="9">
        <v>8000</v>
      </c>
      <c r="F56" s="9">
        <v>10000</v>
      </c>
      <c r="G56" s="13" t="s">
        <v>191</v>
      </c>
      <c r="H56" s="9">
        <v>5000</v>
      </c>
      <c r="I56" s="13" t="s">
        <v>191</v>
      </c>
      <c r="J56" s="9">
        <v>43000</v>
      </c>
      <c r="K56" s="9">
        <v>16000</v>
      </c>
      <c r="L56" s="9">
        <v>27000</v>
      </c>
    </row>
    <row r="57" spans="1:12">
      <c r="A57" s="122" t="s">
        <v>189</v>
      </c>
      <c r="B57" s="105">
        <v>106000</v>
      </c>
      <c r="C57" s="9">
        <v>66000</v>
      </c>
      <c r="D57" s="9">
        <v>60000</v>
      </c>
      <c r="E57" s="9">
        <v>4000</v>
      </c>
      <c r="F57" s="9">
        <v>3000</v>
      </c>
      <c r="G57" s="9">
        <v>34000</v>
      </c>
      <c r="H57" s="9">
        <v>21000</v>
      </c>
      <c r="I57" s="9">
        <v>13000</v>
      </c>
      <c r="J57" s="9">
        <v>6000</v>
      </c>
      <c r="K57" s="9">
        <v>3000</v>
      </c>
      <c r="L57" s="9">
        <v>2000</v>
      </c>
    </row>
    <row r="58" spans="1:12">
      <c r="A58" s="122" t="s">
        <v>190</v>
      </c>
      <c r="B58" s="105">
        <v>17000</v>
      </c>
      <c r="C58" s="9">
        <v>14000</v>
      </c>
      <c r="D58" s="9">
        <v>6000</v>
      </c>
      <c r="E58" s="13" t="s">
        <v>191</v>
      </c>
      <c r="F58" s="13" t="s">
        <v>191</v>
      </c>
      <c r="G58" s="13" t="s">
        <v>191</v>
      </c>
      <c r="H58" s="13" t="s">
        <v>220</v>
      </c>
      <c r="I58" s="13" t="s">
        <v>220</v>
      </c>
      <c r="J58" s="13" t="s">
        <v>191</v>
      </c>
      <c r="K58" s="9">
        <v>1000</v>
      </c>
      <c r="L58" s="13" t="s">
        <v>220</v>
      </c>
    </row>
    <row r="59" spans="1:12">
      <c r="A59" s="121" t="s">
        <v>192</v>
      </c>
      <c r="B59" s="105">
        <v>4229000</v>
      </c>
      <c r="C59" s="9">
        <v>3102000</v>
      </c>
      <c r="D59" s="9">
        <v>2362000</v>
      </c>
      <c r="E59" s="9">
        <v>432000</v>
      </c>
      <c r="F59" s="9">
        <v>309000</v>
      </c>
      <c r="G59" s="9">
        <v>559000</v>
      </c>
      <c r="H59" s="9">
        <v>208000</v>
      </c>
      <c r="I59" s="9">
        <v>352000</v>
      </c>
      <c r="J59" s="9">
        <v>568000</v>
      </c>
      <c r="K59" s="9">
        <v>179000</v>
      </c>
      <c r="L59" s="9">
        <v>388000</v>
      </c>
    </row>
    <row r="60" spans="1:12">
      <c r="A60" s="122" t="s">
        <v>193</v>
      </c>
      <c r="B60" s="105">
        <v>714000</v>
      </c>
      <c r="C60" s="9">
        <v>607000</v>
      </c>
      <c r="D60" s="9">
        <v>546000</v>
      </c>
      <c r="E60" s="9">
        <v>13000</v>
      </c>
      <c r="F60" s="9">
        <v>48000</v>
      </c>
      <c r="G60" s="9">
        <v>31000</v>
      </c>
      <c r="H60" s="9">
        <v>14000</v>
      </c>
      <c r="I60" s="9">
        <v>17000</v>
      </c>
      <c r="J60" s="9">
        <v>75000</v>
      </c>
      <c r="K60" s="9">
        <v>38000</v>
      </c>
      <c r="L60" s="9">
        <v>38000</v>
      </c>
    </row>
    <row r="61" spans="1:12">
      <c r="A61" s="122" t="s">
        <v>194</v>
      </c>
      <c r="B61" s="105">
        <v>777000</v>
      </c>
      <c r="C61" s="9">
        <v>619000</v>
      </c>
      <c r="D61" s="9">
        <v>490000</v>
      </c>
      <c r="E61" s="9">
        <v>65000</v>
      </c>
      <c r="F61" s="9">
        <v>65000</v>
      </c>
      <c r="G61" s="9">
        <v>62000</v>
      </c>
      <c r="H61" s="9">
        <v>26000</v>
      </c>
      <c r="I61" s="9">
        <v>36000</v>
      </c>
      <c r="J61" s="9">
        <v>95000</v>
      </c>
      <c r="K61" s="9">
        <v>48000</v>
      </c>
      <c r="L61" s="9">
        <v>47000</v>
      </c>
    </row>
    <row r="62" spans="1:12">
      <c r="A62" s="122" t="s">
        <v>195</v>
      </c>
      <c r="B62" s="105">
        <v>1521000</v>
      </c>
      <c r="C62" s="9">
        <v>1035000</v>
      </c>
      <c r="D62" s="9">
        <v>716000</v>
      </c>
      <c r="E62" s="9">
        <v>208000</v>
      </c>
      <c r="F62" s="9">
        <v>111000</v>
      </c>
      <c r="G62" s="9">
        <v>288000</v>
      </c>
      <c r="H62" s="9">
        <v>99000</v>
      </c>
      <c r="I62" s="9">
        <v>190000</v>
      </c>
      <c r="J62" s="9">
        <v>197000</v>
      </c>
      <c r="K62" s="9">
        <v>49000</v>
      </c>
      <c r="L62" s="9">
        <v>148000</v>
      </c>
    </row>
    <row r="63" spans="1:12">
      <c r="A63" s="122" t="s">
        <v>196</v>
      </c>
      <c r="B63" s="105">
        <v>800000</v>
      </c>
      <c r="C63" s="9">
        <v>556000</v>
      </c>
      <c r="D63" s="9">
        <v>409000</v>
      </c>
      <c r="E63" s="9">
        <v>89000</v>
      </c>
      <c r="F63" s="9">
        <v>58000</v>
      </c>
      <c r="G63" s="9">
        <v>94000</v>
      </c>
      <c r="H63" s="9">
        <v>33000</v>
      </c>
      <c r="I63" s="9">
        <v>61000</v>
      </c>
      <c r="J63" s="9">
        <v>150000</v>
      </c>
      <c r="K63" s="9">
        <v>33000</v>
      </c>
      <c r="L63" s="9">
        <v>117000</v>
      </c>
    </row>
    <row r="64" spans="1:12">
      <c r="A64" s="122" t="s">
        <v>197</v>
      </c>
      <c r="B64" s="105">
        <v>417000</v>
      </c>
      <c r="C64" s="9">
        <v>284000</v>
      </c>
      <c r="D64" s="9">
        <v>200000</v>
      </c>
      <c r="E64" s="9">
        <v>56000</v>
      </c>
      <c r="F64" s="9">
        <v>27000</v>
      </c>
      <c r="G64" s="9">
        <v>84000</v>
      </c>
      <c r="H64" s="9">
        <v>36000</v>
      </c>
      <c r="I64" s="9">
        <v>48000</v>
      </c>
      <c r="J64" s="9">
        <v>50000</v>
      </c>
      <c r="K64" s="9">
        <v>12000</v>
      </c>
      <c r="L64" s="9">
        <v>38000</v>
      </c>
    </row>
    <row r="65" spans="1:12">
      <c r="A65" s="121" t="s">
        <v>198</v>
      </c>
      <c r="B65" s="105">
        <v>2725000</v>
      </c>
      <c r="C65" s="9">
        <v>2378000</v>
      </c>
      <c r="D65" s="9">
        <v>2201000</v>
      </c>
      <c r="E65" s="9">
        <v>63000</v>
      </c>
      <c r="F65" s="9">
        <v>114000</v>
      </c>
      <c r="G65" s="9">
        <v>99000</v>
      </c>
      <c r="H65" s="9">
        <v>73000</v>
      </c>
      <c r="I65" s="9">
        <v>26000</v>
      </c>
      <c r="J65" s="9">
        <v>248000</v>
      </c>
      <c r="K65" s="9">
        <v>115000</v>
      </c>
      <c r="L65" s="9">
        <v>133000</v>
      </c>
    </row>
    <row r="66" spans="1:12">
      <c r="A66" s="122" t="s">
        <v>199</v>
      </c>
      <c r="B66" s="105">
        <v>86000</v>
      </c>
      <c r="C66" s="9">
        <v>71000</v>
      </c>
      <c r="D66" s="9">
        <v>66000</v>
      </c>
      <c r="E66" s="9">
        <v>1000</v>
      </c>
      <c r="F66" s="13" t="s">
        <v>191</v>
      </c>
      <c r="G66" s="9">
        <v>2000</v>
      </c>
      <c r="H66" s="9">
        <v>2000</v>
      </c>
      <c r="I66" s="13" t="s">
        <v>191</v>
      </c>
      <c r="J66" s="9">
        <v>13000</v>
      </c>
      <c r="K66" s="9">
        <v>12000</v>
      </c>
      <c r="L66" s="13" t="s">
        <v>220</v>
      </c>
    </row>
    <row r="67" spans="1:12">
      <c r="A67" s="122" t="s">
        <v>200</v>
      </c>
      <c r="B67" s="105">
        <v>202000</v>
      </c>
      <c r="C67" s="9">
        <v>183000</v>
      </c>
      <c r="D67" s="9">
        <v>173000</v>
      </c>
      <c r="E67" s="9">
        <v>4000</v>
      </c>
      <c r="F67" s="9">
        <v>5000</v>
      </c>
      <c r="G67" s="9">
        <v>6000</v>
      </c>
      <c r="H67" s="9">
        <v>4000</v>
      </c>
      <c r="I67" s="13" t="s">
        <v>191</v>
      </c>
      <c r="J67" s="9">
        <v>13000</v>
      </c>
      <c r="K67" s="9">
        <v>6000</v>
      </c>
      <c r="L67" s="13" t="s">
        <v>191</v>
      </c>
    </row>
    <row r="68" spans="1:12">
      <c r="A68" s="122" t="s">
        <v>201</v>
      </c>
      <c r="B68" s="105">
        <v>395000</v>
      </c>
      <c r="C68" s="9">
        <v>298000</v>
      </c>
      <c r="D68" s="9">
        <v>274000</v>
      </c>
      <c r="E68" s="13" t="s">
        <v>191</v>
      </c>
      <c r="F68" s="9">
        <v>18000</v>
      </c>
      <c r="G68" s="9">
        <v>11000</v>
      </c>
      <c r="H68" s="9">
        <v>6000</v>
      </c>
      <c r="I68" s="13" t="s">
        <v>191</v>
      </c>
      <c r="J68" s="9">
        <v>86000</v>
      </c>
      <c r="K68" s="9">
        <v>15000</v>
      </c>
      <c r="L68" s="9">
        <v>71000</v>
      </c>
    </row>
    <row r="69" spans="1:12">
      <c r="A69" s="122" t="s">
        <v>202</v>
      </c>
      <c r="B69" s="105">
        <v>924000</v>
      </c>
      <c r="C69" s="9">
        <v>834000</v>
      </c>
      <c r="D69" s="9">
        <v>771000</v>
      </c>
      <c r="E69" s="9">
        <v>31000</v>
      </c>
      <c r="F69" s="9">
        <v>32000</v>
      </c>
      <c r="G69" s="9">
        <v>36000</v>
      </c>
      <c r="H69" s="9">
        <v>29000</v>
      </c>
      <c r="I69" s="9">
        <v>7000</v>
      </c>
      <c r="J69" s="9">
        <v>54000</v>
      </c>
      <c r="K69" s="9">
        <v>32000</v>
      </c>
      <c r="L69" s="9">
        <v>22000</v>
      </c>
    </row>
    <row r="70" spans="1:12">
      <c r="A70" s="122" t="s">
        <v>203</v>
      </c>
      <c r="B70" s="105">
        <v>154000</v>
      </c>
      <c r="C70" s="9">
        <v>146000</v>
      </c>
      <c r="D70" s="9">
        <v>132000</v>
      </c>
      <c r="E70" s="9">
        <v>4000</v>
      </c>
      <c r="F70" s="9">
        <v>9000</v>
      </c>
      <c r="G70" s="9">
        <v>2000</v>
      </c>
      <c r="H70" s="13" t="s">
        <v>220</v>
      </c>
      <c r="I70" s="9">
        <v>2000</v>
      </c>
      <c r="J70" s="9">
        <v>6000</v>
      </c>
      <c r="K70" s="9">
        <v>5000</v>
      </c>
      <c r="L70" s="9">
        <v>1000</v>
      </c>
    </row>
    <row r="71" spans="1:12">
      <c r="A71" s="122" t="s">
        <v>204</v>
      </c>
      <c r="B71" s="105">
        <v>660000</v>
      </c>
      <c r="C71" s="9">
        <v>583000</v>
      </c>
      <c r="D71" s="9">
        <v>541000</v>
      </c>
      <c r="E71" s="9">
        <v>12000</v>
      </c>
      <c r="F71" s="9">
        <v>30000</v>
      </c>
      <c r="G71" s="9">
        <v>29000</v>
      </c>
      <c r="H71" s="9">
        <v>22000</v>
      </c>
      <c r="I71" s="9">
        <v>7000</v>
      </c>
      <c r="J71" s="9">
        <v>49000</v>
      </c>
      <c r="K71" s="9">
        <v>34000</v>
      </c>
      <c r="L71" s="9">
        <v>15000</v>
      </c>
    </row>
    <row r="72" spans="1:12">
      <c r="A72" s="122" t="s">
        <v>205</v>
      </c>
      <c r="B72" s="105">
        <v>304000</v>
      </c>
      <c r="C72" s="9">
        <v>264000</v>
      </c>
      <c r="D72" s="9">
        <v>244000</v>
      </c>
      <c r="E72" s="9">
        <v>5000</v>
      </c>
      <c r="F72" s="9">
        <v>15000</v>
      </c>
      <c r="G72" s="9">
        <v>13000</v>
      </c>
      <c r="H72" s="9">
        <v>10000</v>
      </c>
      <c r="I72" s="13" t="s">
        <v>191</v>
      </c>
      <c r="J72" s="9">
        <v>28000</v>
      </c>
      <c r="K72" s="9">
        <v>12000</v>
      </c>
      <c r="L72" s="9">
        <v>16000</v>
      </c>
    </row>
    <row r="73" spans="1:12">
      <c r="A73" s="120" t="s">
        <v>206</v>
      </c>
      <c r="B73" s="105">
        <v>3821000</v>
      </c>
      <c r="C73" s="9">
        <v>3082000</v>
      </c>
      <c r="D73" s="9">
        <v>1912000</v>
      </c>
      <c r="E73" s="9">
        <v>997000</v>
      </c>
      <c r="F73" s="9">
        <v>173000</v>
      </c>
      <c r="G73" s="9">
        <v>444000</v>
      </c>
      <c r="H73" s="9">
        <v>184000</v>
      </c>
      <c r="I73" s="9">
        <v>260000</v>
      </c>
      <c r="J73" s="9">
        <v>294000</v>
      </c>
      <c r="K73" s="9">
        <v>112000</v>
      </c>
      <c r="L73" s="9">
        <v>182000</v>
      </c>
    </row>
    <row r="74" spans="1:12">
      <c r="A74" s="121" t="s">
        <v>207</v>
      </c>
      <c r="B74" s="105">
        <v>2912000</v>
      </c>
      <c r="C74" s="9">
        <v>2403000</v>
      </c>
      <c r="D74" s="9">
        <v>1344000</v>
      </c>
      <c r="E74" s="9">
        <v>960000</v>
      </c>
      <c r="F74" s="9">
        <v>99000</v>
      </c>
      <c r="G74" s="9">
        <v>296000</v>
      </c>
      <c r="H74" s="9">
        <v>171000</v>
      </c>
      <c r="I74" s="9">
        <v>126000</v>
      </c>
      <c r="J74" s="9">
        <v>212000</v>
      </c>
      <c r="K74" s="9">
        <v>78000</v>
      </c>
      <c r="L74" s="9">
        <v>134000</v>
      </c>
    </row>
    <row r="75" spans="1:12">
      <c r="A75" s="121" t="s">
        <v>208</v>
      </c>
      <c r="B75" s="107">
        <v>171000</v>
      </c>
      <c r="C75" s="7">
        <v>62000</v>
      </c>
      <c r="D75" s="7">
        <v>48000</v>
      </c>
      <c r="E75" s="19" t="s">
        <v>191</v>
      </c>
      <c r="F75" s="19" t="s">
        <v>191</v>
      </c>
      <c r="G75" s="7">
        <v>105000</v>
      </c>
      <c r="H75" s="19" t="s">
        <v>191</v>
      </c>
      <c r="I75" s="7">
        <v>104000</v>
      </c>
      <c r="J75" s="19" t="s">
        <v>191</v>
      </c>
      <c r="K75" s="19" t="s">
        <v>220</v>
      </c>
      <c r="L75" s="19" t="s">
        <v>220</v>
      </c>
    </row>
    <row r="76" spans="1:12">
      <c r="A76" s="121" t="s">
        <v>209</v>
      </c>
      <c r="B76" s="105">
        <v>393000</v>
      </c>
      <c r="C76" s="9">
        <v>327000</v>
      </c>
      <c r="D76" s="9">
        <v>291000</v>
      </c>
      <c r="E76" s="9">
        <v>11000</v>
      </c>
      <c r="F76" s="9">
        <v>26000</v>
      </c>
      <c r="G76" s="9">
        <v>23000</v>
      </c>
      <c r="H76" s="13" t="s">
        <v>191</v>
      </c>
      <c r="I76" s="9">
        <v>21000</v>
      </c>
      <c r="J76" s="9">
        <v>43000</v>
      </c>
      <c r="K76" s="9">
        <v>25000</v>
      </c>
      <c r="L76" s="9">
        <v>17000</v>
      </c>
    </row>
    <row r="77" spans="1:12">
      <c r="A77" s="121" t="s">
        <v>210</v>
      </c>
      <c r="B77" s="105">
        <v>344000</v>
      </c>
      <c r="C77" s="9">
        <v>291000</v>
      </c>
      <c r="D77" s="9">
        <v>230000</v>
      </c>
      <c r="E77" s="9">
        <v>18000</v>
      </c>
      <c r="F77" s="9">
        <v>43000</v>
      </c>
      <c r="G77" s="9">
        <v>20000</v>
      </c>
      <c r="H77" s="9">
        <v>10000</v>
      </c>
      <c r="I77" s="9">
        <v>10000</v>
      </c>
      <c r="J77" s="9">
        <v>34000</v>
      </c>
      <c r="K77" s="13" t="s">
        <v>191</v>
      </c>
      <c r="L77" s="9">
        <v>28000</v>
      </c>
    </row>
    <row r="78" spans="1:12">
      <c r="A78" s="120" t="s">
        <v>211</v>
      </c>
      <c r="B78" s="105">
        <v>16491000</v>
      </c>
      <c r="C78" s="9">
        <v>12245000</v>
      </c>
      <c r="D78" s="9">
        <v>9548000</v>
      </c>
      <c r="E78" s="9">
        <v>1266000</v>
      </c>
      <c r="F78" s="9">
        <v>1431000</v>
      </c>
      <c r="G78" s="9">
        <v>2607000</v>
      </c>
      <c r="H78" s="9">
        <v>445000</v>
      </c>
      <c r="I78" s="9">
        <v>2162000</v>
      </c>
      <c r="J78" s="9">
        <v>1639000</v>
      </c>
      <c r="K78" s="9">
        <v>494000</v>
      </c>
      <c r="L78" s="9">
        <v>1145000</v>
      </c>
    </row>
    <row r="79" spans="1:12">
      <c r="A79" s="121" t="s">
        <v>212</v>
      </c>
      <c r="B79" s="105">
        <v>6113000</v>
      </c>
      <c r="C79" s="9">
        <v>5231000</v>
      </c>
      <c r="D79" s="9">
        <v>4378000</v>
      </c>
      <c r="E79" s="9">
        <v>404000</v>
      </c>
      <c r="F79" s="9">
        <v>448000</v>
      </c>
      <c r="G79" s="9">
        <v>282000</v>
      </c>
      <c r="H79" s="9">
        <v>108000</v>
      </c>
      <c r="I79" s="9">
        <v>174000</v>
      </c>
      <c r="J79" s="9">
        <v>600000</v>
      </c>
      <c r="K79" s="9">
        <v>230000</v>
      </c>
      <c r="L79" s="9">
        <v>370000</v>
      </c>
    </row>
    <row r="80" spans="1:12">
      <c r="A80" s="121" t="s">
        <v>213</v>
      </c>
      <c r="B80" s="105">
        <v>1960000</v>
      </c>
      <c r="C80" s="9">
        <v>711000</v>
      </c>
      <c r="D80" s="9">
        <v>468000</v>
      </c>
      <c r="E80" s="9">
        <v>114000</v>
      </c>
      <c r="F80" s="9">
        <v>129000</v>
      </c>
      <c r="G80" s="9">
        <v>1164000</v>
      </c>
      <c r="H80" s="9">
        <v>35000</v>
      </c>
      <c r="I80" s="9">
        <v>1129000</v>
      </c>
      <c r="J80" s="9">
        <v>86000</v>
      </c>
      <c r="K80" s="9">
        <v>21000</v>
      </c>
      <c r="L80" s="9">
        <v>65000</v>
      </c>
    </row>
    <row r="81" spans="1:12">
      <c r="A81" s="121" t="s">
        <v>214</v>
      </c>
      <c r="B81" s="105">
        <v>542000</v>
      </c>
      <c r="C81" s="9">
        <v>367000</v>
      </c>
      <c r="D81" s="9">
        <v>207000</v>
      </c>
      <c r="E81" s="9">
        <v>119000</v>
      </c>
      <c r="F81" s="9">
        <v>41000</v>
      </c>
      <c r="G81" s="9">
        <v>94000</v>
      </c>
      <c r="H81" s="9">
        <v>19000</v>
      </c>
      <c r="I81" s="9">
        <v>75000</v>
      </c>
      <c r="J81" s="9">
        <v>82000</v>
      </c>
      <c r="K81" s="13" t="s">
        <v>191</v>
      </c>
      <c r="L81" s="9">
        <v>75000</v>
      </c>
    </row>
    <row r="82" spans="1:12">
      <c r="A82" s="121" t="s">
        <v>215</v>
      </c>
      <c r="B82" s="105">
        <v>1078000</v>
      </c>
      <c r="C82" s="9">
        <v>956000</v>
      </c>
      <c r="D82" s="9">
        <v>783000</v>
      </c>
      <c r="E82" s="9">
        <v>58000</v>
      </c>
      <c r="F82" s="9">
        <v>115000</v>
      </c>
      <c r="G82" s="9">
        <v>74000</v>
      </c>
      <c r="H82" s="9">
        <v>17000</v>
      </c>
      <c r="I82" s="9">
        <v>57000</v>
      </c>
      <c r="J82" s="9">
        <v>48000</v>
      </c>
      <c r="K82" s="13" t="s">
        <v>191</v>
      </c>
      <c r="L82" s="9">
        <v>36000</v>
      </c>
    </row>
    <row r="83" spans="1:12">
      <c r="A83" s="121" t="s">
        <v>216</v>
      </c>
      <c r="B83" s="105">
        <v>3626000</v>
      </c>
      <c r="C83" s="9">
        <v>2704000</v>
      </c>
      <c r="D83" s="9">
        <v>1974000</v>
      </c>
      <c r="E83" s="9">
        <v>282000</v>
      </c>
      <c r="F83" s="9">
        <v>447000</v>
      </c>
      <c r="G83" s="9">
        <v>653000</v>
      </c>
      <c r="H83" s="9">
        <v>150000</v>
      </c>
      <c r="I83" s="9">
        <v>503000</v>
      </c>
      <c r="J83" s="9">
        <v>269000</v>
      </c>
      <c r="K83" s="9">
        <v>92000</v>
      </c>
      <c r="L83" s="9">
        <v>177000</v>
      </c>
    </row>
    <row r="84" spans="1:12">
      <c r="A84" s="121" t="s">
        <v>217</v>
      </c>
      <c r="B84" s="105">
        <v>3172000</v>
      </c>
      <c r="C84" s="9">
        <v>2276000</v>
      </c>
      <c r="D84" s="9">
        <v>1737000</v>
      </c>
      <c r="E84" s="9">
        <v>289000</v>
      </c>
      <c r="F84" s="9">
        <v>250000</v>
      </c>
      <c r="G84" s="9">
        <v>340000</v>
      </c>
      <c r="H84" s="9">
        <v>116000</v>
      </c>
      <c r="I84" s="9">
        <v>224000</v>
      </c>
      <c r="J84" s="9">
        <v>555000</v>
      </c>
      <c r="K84" s="9">
        <v>133000</v>
      </c>
      <c r="L84" s="9">
        <v>422000</v>
      </c>
    </row>
    <row r="85" spans="1:12">
      <c r="A85" s="114" t="s">
        <v>219</v>
      </c>
      <c r="B85" s="144">
        <v>14688000</v>
      </c>
      <c r="C85" s="143">
        <v>8660000</v>
      </c>
      <c r="D85" s="143">
        <v>6400000</v>
      </c>
      <c r="E85" s="143">
        <v>1542000</v>
      </c>
      <c r="F85" s="143">
        <v>718000</v>
      </c>
      <c r="G85" s="143">
        <v>4447000</v>
      </c>
      <c r="H85" s="143">
        <v>1092000</v>
      </c>
      <c r="I85" s="143">
        <v>3354000</v>
      </c>
      <c r="J85" s="143">
        <v>1582000</v>
      </c>
      <c r="K85" s="143">
        <v>699000</v>
      </c>
      <c r="L85" s="143">
        <v>883000</v>
      </c>
    </row>
    <row r="86" spans="1:12">
      <c r="A86" s="115" t="s">
        <v>178</v>
      </c>
      <c r="B86" s="105">
        <v>3680000</v>
      </c>
      <c r="C86" s="9">
        <v>2582000</v>
      </c>
      <c r="D86" s="9">
        <v>2103000</v>
      </c>
      <c r="E86" s="9">
        <v>321000</v>
      </c>
      <c r="F86" s="9">
        <v>159000</v>
      </c>
      <c r="G86" s="9">
        <v>637000</v>
      </c>
      <c r="H86" s="9">
        <v>336000</v>
      </c>
      <c r="I86" s="9">
        <v>301000</v>
      </c>
      <c r="J86" s="9">
        <v>461000</v>
      </c>
      <c r="K86" s="9">
        <v>242000</v>
      </c>
      <c r="L86" s="9">
        <v>219000</v>
      </c>
    </row>
    <row r="87" spans="1:12">
      <c r="A87" s="116" t="s">
        <v>179</v>
      </c>
      <c r="B87" s="105">
        <v>417000</v>
      </c>
      <c r="C87" s="9">
        <v>228000</v>
      </c>
      <c r="D87" s="9">
        <v>177000</v>
      </c>
      <c r="E87" s="9">
        <v>39000</v>
      </c>
      <c r="F87" s="9">
        <v>11000</v>
      </c>
      <c r="G87" s="9">
        <v>118000</v>
      </c>
      <c r="H87" s="9">
        <v>68000</v>
      </c>
      <c r="I87" s="9">
        <v>51000</v>
      </c>
      <c r="J87" s="9">
        <v>71000</v>
      </c>
      <c r="K87" s="9">
        <v>32000</v>
      </c>
      <c r="L87" s="9">
        <v>39000</v>
      </c>
    </row>
    <row r="88" spans="1:12">
      <c r="A88" s="117" t="s">
        <v>180</v>
      </c>
      <c r="B88" s="105">
        <v>46000</v>
      </c>
      <c r="C88" s="9">
        <v>28000</v>
      </c>
      <c r="D88" s="9">
        <v>26000</v>
      </c>
      <c r="E88" s="13" t="s">
        <v>222</v>
      </c>
      <c r="F88" s="13" t="s">
        <v>191</v>
      </c>
      <c r="G88" s="9">
        <v>12000</v>
      </c>
      <c r="H88" s="9">
        <v>9000</v>
      </c>
      <c r="I88" s="9">
        <v>3000</v>
      </c>
      <c r="J88" s="9">
        <v>6000</v>
      </c>
      <c r="K88" s="9">
        <v>4000</v>
      </c>
      <c r="L88" s="13" t="s">
        <v>191</v>
      </c>
    </row>
    <row r="89" spans="1:12">
      <c r="A89" s="117" t="s">
        <v>181</v>
      </c>
      <c r="B89" s="105">
        <v>286000</v>
      </c>
      <c r="C89" s="9">
        <v>152000</v>
      </c>
      <c r="D89" s="9">
        <v>115000</v>
      </c>
      <c r="E89" s="9">
        <v>28000</v>
      </c>
      <c r="F89" s="9">
        <v>9000</v>
      </c>
      <c r="G89" s="9">
        <v>96000</v>
      </c>
      <c r="H89" s="9">
        <v>52000</v>
      </c>
      <c r="I89" s="9">
        <v>44000</v>
      </c>
      <c r="J89" s="9">
        <v>38000</v>
      </c>
      <c r="K89" s="9">
        <v>18000</v>
      </c>
      <c r="L89" s="9">
        <v>19000</v>
      </c>
    </row>
    <row r="90" spans="1:12">
      <c r="A90" s="117" t="s">
        <v>182</v>
      </c>
      <c r="B90" s="105">
        <v>86000</v>
      </c>
      <c r="C90" s="9">
        <v>48000</v>
      </c>
      <c r="D90" s="9">
        <v>36000</v>
      </c>
      <c r="E90" s="9">
        <v>11000</v>
      </c>
      <c r="F90" s="13" t="s">
        <v>191</v>
      </c>
      <c r="G90" s="9">
        <v>10000</v>
      </c>
      <c r="H90" s="9">
        <v>6000</v>
      </c>
      <c r="I90" s="13" t="s">
        <v>191</v>
      </c>
      <c r="J90" s="9">
        <v>28000</v>
      </c>
      <c r="K90" s="9">
        <v>9000</v>
      </c>
      <c r="L90" s="9">
        <v>18000</v>
      </c>
    </row>
    <row r="91" spans="1:12">
      <c r="A91" s="116" t="s">
        <v>183</v>
      </c>
      <c r="B91" s="105">
        <v>888000</v>
      </c>
      <c r="C91" s="9">
        <v>712000</v>
      </c>
      <c r="D91" s="9">
        <v>640000</v>
      </c>
      <c r="E91" s="9">
        <v>45000</v>
      </c>
      <c r="F91" s="9">
        <v>27000</v>
      </c>
      <c r="G91" s="9">
        <v>103000</v>
      </c>
      <c r="H91" s="9">
        <v>60000</v>
      </c>
      <c r="I91" s="9">
        <v>43000</v>
      </c>
      <c r="J91" s="9">
        <v>72000</v>
      </c>
      <c r="K91" s="9">
        <v>38000</v>
      </c>
      <c r="L91" s="9">
        <v>35000</v>
      </c>
    </row>
    <row r="92" spans="1:12">
      <c r="A92" s="117" t="s">
        <v>184</v>
      </c>
      <c r="B92" s="105">
        <v>732000</v>
      </c>
      <c r="C92" s="9">
        <v>618000</v>
      </c>
      <c r="D92" s="9">
        <v>564000</v>
      </c>
      <c r="E92" s="9">
        <v>37000</v>
      </c>
      <c r="F92" s="9">
        <v>17000</v>
      </c>
      <c r="G92" s="9">
        <v>56000</v>
      </c>
      <c r="H92" s="9">
        <v>40000</v>
      </c>
      <c r="I92" s="9">
        <v>16000</v>
      </c>
      <c r="J92" s="9">
        <v>58000</v>
      </c>
      <c r="K92" s="9">
        <v>28000</v>
      </c>
      <c r="L92" s="9">
        <v>30000</v>
      </c>
    </row>
    <row r="93" spans="1:12">
      <c r="A93" s="117" t="s">
        <v>185</v>
      </c>
      <c r="B93" s="105">
        <v>156000</v>
      </c>
      <c r="C93" s="9">
        <v>94000</v>
      </c>
      <c r="D93" s="9">
        <v>77000</v>
      </c>
      <c r="E93" s="9">
        <v>8000</v>
      </c>
      <c r="F93" s="9">
        <v>10000</v>
      </c>
      <c r="G93" s="9">
        <v>47000</v>
      </c>
      <c r="H93" s="9">
        <v>21000</v>
      </c>
      <c r="I93" s="9">
        <v>26000</v>
      </c>
      <c r="J93" s="9">
        <v>14000</v>
      </c>
      <c r="K93" s="9">
        <v>9000</v>
      </c>
      <c r="L93" s="9">
        <v>5000</v>
      </c>
    </row>
    <row r="94" spans="1:12">
      <c r="A94" s="116" t="s">
        <v>186</v>
      </c>
      <c r="B94" s="105">
        <v>174000</v>
      </c>
      <c r="C94" s="9">
        <v>107000</v>
      </c>
      <c r="D94" s="9">
        <v>97000</v>
      </c>
      <c r="E94" s="9">
        <v>6000</v>
      </c>
      <c r="F94" s="9">
        <v>5000</v>
      </c>
      <c r="G94" s="9">
        <v>45000</v>
      </c>
      <c r="H94" s="9">
        <v>29000</v>
      </c>
      <c r="I94" s="9">
        <v>16000</v>
      </c>
      <c r="J94" s="9">
        <v>22000</v>
      </c>
      <c r="K94" s="9">
        <v>15000</v>
      </c>
      <c r="L94" s="9">
        <v>7000</v>
      </c>
    </row>
    <row r="95" spans="1:12">
      <c r="A95" s="117" t="s">
        <v>187</v>
      </c>
      <c r="B95" s="105">
        <v>57000</v>
      </c>
      <c r="C95" s="9">
        <v>38000</v>
      </c>
      <c r="D95" s="9">
        <v>34000</v>
      </c>
      <c r="E95" s="9">
        <v>2000</v>
      </c>
      <c r="F95" s="13" t="s">
        <v>191</v>
      </c>
      <c r="G95" s="9">
        <v>15000</v>
      </c>
      <c r="H95" s="9">
        <v>7000</v>
      </c>
      <c r="I95" s="9">
        <v>8000</v>
      </c>
      <c r="J95" s="9">
        <v>4000</v>
      </c>
      <c r="K95" s="9">
        <v>2000</v>
      </c>
      <c r="L95" s="13" t="s">
        <v>191</v>
      </c>
    </row>
    <row r="96" spans="1:12">
      <c r="A96" s="117" t="s">
        <v>188</v>
      </c>
      <c r="B96" s="105">
        <v>59000</v>
      </c>
      <c r="C96" s="9">
        <v>38000</v>
      </c>
      <c r="D96" s="9">
        <v>34000</v>
      </c>
      <c r="E96" s="13" t="s">
        <v>191</v>
      </c>
      <c r="F96" s="9">
        <v>1000</v>
      </c>
      <c r="G96" s="9">
        <v>13000</v>
      </c>
      <c r="H96" s="9">
        <v>8000</v>
      </c>
      <c r="I96" s="13" t="s">
        <v>191</v>
      </c>
      <c r="J96" s="9">
        <v>8000</v>
      </c>
      <c r="K96" s="9">
        <v>3000</v>
      </c>
      <c r="L96" s="9">
        <v>5000</v>
      </c>
    </row>
    <row r="97" spans="1:12">
      <c r="A97" s="117" t="s">
        <v>189</v>
      </c>
      <c r="B97" s="105">
        <v>52000</v>
      </c>
      <c r="C97" s="9">
        <v>30000</v>
      </c>
      <c r="D97" s="9">
        <v>28000</v>
      </c>
      <c r="E97" s="13" t="s">
        <v>191</v>
      </c>
      <c r="F97" s="13" t="s">
        <v>220</v>
      </c>
      <c r="G97" s="9">
        <v>16000</v>
      </c>
      <c r="H97" s="9">
        <v>13000</v>
      </c>
      <c r="I97" s="9">
        <v>2000</v>
      </c>
      <c r="J97" s="9">
        <v>6000</v>
      </c>
      <c r="K97" s="9">
        <v>6000</v>
      </c>
      <c r="L97" s="13" t="s">
        <v>220</v>
      </c>
    </row>
    <row r="98" spans="1:12">
      <c r="A98" s="117" t="s">
        <v>190</v>
      </c>
      <c r="B98" s="105">
        <v>6000</v>
      </c>
      <c r="C98" s="9">
        <v>1000</v>
      </c>
      <c r="D98" s="9">
        <v>1000</v>
      </c>
      <c r="E98" s="13" t="s">
        <v>220</v>
      </c>
      <c r="F98" s="13" t="s">
        <v>220</v>
      </c>
      <c r="G98" s="9">
        <v>1000</v>
      </c>
      <c r="H98" s="9">
        <v>1000</v>
      </c>
      <c r="I98" s="13" t="s">
        <v>191</v>
      </c>
      <c r="J98" s="13" t="s">
        <v>191</v>
      </c>
      <c r="K98" s="13" t="s">
        <v>191</v>
      </c>
      <c r="L98" s="13" t="s">
        <v>220</v>
      </c>
    </row>
    <row r="99" spans="1:12">
      <c r="A99" s="116" t="s">
        <v>192</v>
      </c>
      <c r="B99" s="105">
        <v>1171000</v>
      </c>
      <c r="C99" s="9">
        <v>696000</v>
      </c>
      <c r="D99" s="9">
        <v>401000</v>
      </c>
      <c r="E99" s="9">
        <v>205000</v>
      </c>
      <c r="F99" s="9">
        <v>91000</v>
      </c>
      <c r="G99" s="9">
        <v>287000</v>
      </c>
      <c r="H99" s="9">
        <v>111000</v>
      </c>
      <c r="I99" s="9">
        <v>176000</v>
      </c>
      <c r="J99" s="9">
        <v>188000</v>
      </c>
      <c r="K99" s="9">
        <v>83000</v>
      </c>
      <c r="L99" s="9">
        <v>105000</v>
      </c>
    </row>
    <row r="100" spans="1:12">
      <c r="A100" s="117" t="s">
        <v>193</v>
      </c>
      <c r="B100" s="105">
        <v>114000</v>
      </c>
      <c r="C100" s="9">
        <v>91000</v>
      </c>
      <c r="D100" s="9">
        <v>70000</v>
      </c>
      <c r="E100" s="9">
        <v>13000</v>
      </c>
      <c r="F100" s="9">
        <v>9000</v>
      </c>
      <c r="G100" s="9">
        <v>16000</v>
      </c>
      <c r="H100" s="9">
        <v>15000</v>
      </c>
      <c r="I100" s="9">
        <v>1000</v>
      </c>
      <c r="J100" s="9">
        <v>6000</v>
      </c>
      <c r="K100" s="9">
        <v>4000</v>
      </c>
      <c r="L100" s="9">
        <v>2000</v>
      </c>
    </row>
    <row r="101" spans="1:12">
      <c r="A101" s="117" t="s">
        <v>194</v>
      </c>
      <c r="B101" s="105">
        <v>231000</v>
      </c>
      <c r="C101" s="9">
        <v>122000</v>
      </c>
      <c r="D101" s="9">
        <v>83000</v>
      </c>
      <c r="E101" s="9">
        <v>33000</v>
      </c>
      <c r="F101" s="9">
        <v>6000</v>
      </c>
      <c r="G101" s="9">
        <v>30000</v>
      </c>
      <c r="H101" s="9">
        <v>22000</v>
      </c>
      <c r="I101" s="9">
        <v>9000</v>
      </c>
      <c r="J101" s="9">
        <v>78000</v>
      </c>
      <c r="K101" s="9">
        <v>56000</v>
      </c>
      <c r="L101" s="9">
        <v>22000</v>
      </c>
    </row>
    <row r="102" spans="1:12">
      <c r="A102" s="117" t="s">
        <v>195</v>
      </c>
      <c r="B102" s="105">
        <v>602000</v>
      </c>
      <c r="C102" s="9">
        <v>363000</v>
      </c>
      <c r="D102" s="9">
        <v>180000</v>
      </c>
      <c r="E102" s="9">
        <v>122000</v>
      </c>
      <c r="F102" s="9">
        <v>61000</v>
      </c>
      <c r="G102" s="9">
        <v>181000</v>
      </c>
      <c r="H102" s="9">
        <v>45000</v>
      </c>
      <c r="I102" s="9">
        <v>136000</v>
      </c>
      <c r="J102" s="9">
        <v>58000</v>
      </c>
      <c r="K102" s="9">
        <v>10000</v>
      </c>
      <c r="L102" s="9">
        <v>48000</v>
      </c>
    </row>
    <row r="103" spans="1:12">
      <c r="A103" s="117" t="s">
        <v>196</v>
      </c>
      <c r="B103" s="105">
        <v>82000</v>
      </c>
      <c r="C103" s="9">
        <v>34000</v>
      </c>
      <c r="D103" s="9">
        <v>26000</v>
      </c>
      <c r="E103" s="9">
        <v>4000</v>
      </c>
      <c r="F103" s="13" t="s">
        <v>191</v>
      </c>
      <c r="G103" s="9">
        <v>25000</v>
      </c>
      <c r="H103" s="9">
        <v>17000</v>
      </c>
      <c r="I103" s="9">
        <v>8000</v>
      </c>
      <c r="J103" s="9">
        <v>24000</v>
      </c>
      <c r="K103" s="9">
        <v>4000</v>
      </c>
      <c r="L103" s="9">
        <v>20000</v>
      </c>
    </row>
    <row r="104" spans="1:12">
      <c r="A104" s="117" t="s">
        <v>197</v>
      </c>
      <c r="B104" s="105">
        <v>142000</v>
      </c>
      <c r="C104" s="9">
        <v>86000</v>
      </c>
      <c r="D104" s="9">
        <v>42000</v>
      </c>
      <c r="E104" s="9">
        <v>33000</v>
      </c>
      <c r="F104" s="9">
        <v>11000</v>
      </c>
      <c r="G104" s="9">
        <v>34000</v>
      </c>
      <c r="H104" s="9">
        <v>12000</v>
      </c>
      <c r="I104" s="9">
        <v>22000</v>
      </c>
      <c r="J104" s="9">
        <v>22000</v>
      </c>
      <c r="K104" s="9">
        <v>10000</v>
      </c>
      <c r="L104" s="9">
        <v>12000</v>
      </c>
    </row>
    <row r="105" spans="1:12">
      <c r="A105" s="116" t="s">
        <v>198</v>
      </c>
      <c r="B105" s="105">
        <v>1030000</v>
      </c>
      <c r="C105" s="9">
        <v>839000</v>
      </c>
      <c r="D105" s="9">
        <v>787000</v>
      </c>
      <c r="E105" s="9">
        <v>26000</v>
      </c>
      <c r="F105" s="9">
        <v>26000</v>
      </c>
      <c r="G105" s="9">
        <v>84000</v>
      </c>
      <c r="H105" s="9">
        <v>68000</v>
      </c>
      <c r="I105" s="9">
        <v>16000</v>
      </c>
      <c r="J105" s="9">
        <v>107000</v>
      </c>
      <c r="K105" s="9">
        <v>74000</v>
      </c>
      <c r="L105" s="9">
        <v>33000</v>
      </c>
    </row>
    <row r="106" spans="1:12">
      <c r="A106" s="117" t="s">
        <v>199</v>
      </c>
      <c r="B106" s="105">
        <v>48000</v>
      </c>
      <c r="C106" s="9">
        <v>32000</v>
      </c>
      <c r="D106" s="9">
        <v>30000</v>
      </c>
      <c r="E106" s="9">
        <v>2000</v>
      </c>
      <c r="F106" s="13" t="s">
        <v>220</v>
      </c>
      <c r="G106" s="9">
        <v>7000</v>
      </c>
      <c r="H106" s="9">
        <v>6000</v>
      </c>
      <c r="I106" s="13" t="s">
        <v>220</v>
      </c>
      <c r="J106" s="9">
        <v>9000</v>
      </c>
      <c r="K106" s="9">
        <v>9000</v>
      </c>
      <c r="L106" s="13" t="s">
        <v>220</v>
      </c>
    </row>
    <row r="107" spans="1:12">
      <c r="A107" s="117" t="s">
        <v>200</v>
      </c>
      <c r="B107" s="105">
        <v>38000</v>
      </c>
      <c r="C107" s="9">
        <v>32000</v>
      </c>
      <c r="D107" s="9">
        <v>27000</v>
      </c>
      <c r="E107" s="13" t="s">
        <v>191</v>
      </c>
      <c r="F107" s="13" t="s">
        <v>191</v>
      </c>
      <c r="G107" s="9">
        <v>5000</v>
      </c>
      <c r="H107" s="9">
        <v>3000</v>
      </c>
      <c r="I107" s="13" t="s">
        <v>220</v>
      </c>
      <c r="J107" s="13" t="s">
        <v>222</v>
      </c>
      <c r="K107" s="13" t="s">
        <v>220</v>
      </c>
      <c r="L107" s="13" t="s">
        <v>222</v>
      </c>
    </row>
    <row r="108" spans="1:12">
      <c r="A108" s="117" t="s">
        <v>201</v>
      </c>
      <c r="B108" s="105">
        <v>126000</v>
      </c>
      <c r="C108" s="9">
        <v>90000</v>
      </c>
      <c r="D108" s="9">
        <v>85000</v>
      </c>
      <c r="E108" s="9">
        <v>1000</v>
      </c>
      <c r="F108" s="9">
        <v>4000</v>
      </c>
      <c r="G108" s="9">
        <v>10000</v>
      </c>
      <c r="H108" s="9">
        <v>8000</v>
      </c>
      <c r="I108" s="13" t="s">
        <v>191</v>
      </c>
      <c r="J108" s="9">
        <v>26000</v>
      </c>
      <c r="K108" s="9">
        <v>5000</v>
      </c>
      <c r="L108" s="9">
        <v>21000</v>
      </c>
    </row>
    <row r="109" spans="1:12">
      <c r="A109" s="117" t="s">
        <v>202</v>
      </c>
      <c r="B109" s="105">
        <v>406000</v>
      </c>
      <c r="C109" s="9">
        <v>349000</v>
      </c>
      <c r="D109" s="9">
        <v>329000</v>
      </c>
      <c r="E109" s="9">
        <v>10000</v>
      </c>
      <c r="F109" s="9">
        <v>10000</v>
      </c>
      <c r="G109" s="9">
        <v>28000</v>
      </c>
      <c r="H109" s="9">
        <v>21000</v>
      </c>
      <c r="I109" s="9">
        <v>7000</v>
      </c>
      <c r="J109" s="9">
        <v>29000</v>
      </c>
      <c r="K109" s="9">
        <v>25000</v>
      </c>
      <c r="L109" s="9">
        <v>4000</v>
      </c>
    </row>
    <row r="110" spans="1:12">
      <c r="A110" s="117" t="s">
        <v>203</v>
      </c>
      <c r="B110" s="107">
        <v>66000</v>
      </c>
      <c r="C110" s="7">
        <v>59000</v>
      </c>
      <c r="D110" s="7">
        <v>55000</v>
      </c>
      <c r="E110" s="7">
        <v>3000</v>
      </c>
      <c r="F110" s="19" t="s">
        <v>191</v>
      </c>
      <c r="G110" s="7">
        <v>4000</v>
      </c>
      <c r="H110" s="19" t="s">
        <v>191</v>
      </c>
      <c r="I110" s="19" t="s">
        <v>220</v>
      </c>
      <c r="J110" s="7">
        <v>2000</v>
      </c>
      <c r="K110" s="7">
        <v>1000</v>
      </c>
      <c r="L110" s="19" t="s">
        <v>191</v>
      </c>
    </row>
    <row r="111" spans="1:12">
      <c r="A111" s="117" t="s">
        <v>204</v>
      </c>
      <c r="B111" s="105">
        <v>159000</v>
      </c>
      <c r="C111" s="9">
        <v>131000</v>
      </c>
      <c r="D111" s="9">
        <v>125000</v>
      </c>
      <c r="E111" s="9">
        <v>4000</v>
      </c>
      <c r="F111" s="9">
        <v>2000</v>
      </c>
      <c r="G111" s="9">
        <v>14000</v>
      </c>
      <c r="H111" s="9">
        <v>13000</v>
      </c>
      <c r="I111" s="13" t="s">
        <v>191</v>
      </c>
      <c r="J111" s="9">
        <v>14000</v>
      </c>
      <c r="K111" s="9">
        <v>12000</v>
      </c>
      <c r="L111" s="9">
        <v>2000</v>
      </c>
    </row>
    <row r="112" spans="1:12">
      <c r="A112" s="117" t="s">
        <v>205</v>
      </c>
      <c r="B112" s="105">
        <v>188000</v>
      </c>
      <c r="C112" s="9">
        <v>145000</v>
      </c>
      <c r="D112" s="9">
        <v>136000</v>
      </c>
      <c r="E112" s="9">
        <v>4000</v>
      </c>
      <c r="F112" s="9">
        <v>6000</v>
      </c>
      <c r="G112" s="9">
        <v>15000</v>
      </c>
      <c r="H112" s="9">
        <v>14000</v>
      </c>
      <c r="I112" s="13" t="s">
        <v>191</v>
      </c>
      <c r="J112" s="9">
        <v>27000</v>
      </c>
      <c r="K112" s="9">
        <v>22000</v>
      </c>
      <c r="L112" s="9">
        <v>5000</v>
      </c>
    </row>
    <row r="113" spans="1:12">
      <c r="A113" s="115" t="s">
        <v>206</v>
      </c>
      <c r="B113" s="105">
        <v>2080000</v>
      </c>
      <c r="C113" s="9">
        <v>1321000</v>
      </c>
      <c r="D113" s="9">
        <v>804000</v>
      </c>
      <c r="E113" s="9">
        <v>427000</v>
      </c>
      <c r="F113" s="9">
        <v>91000</v>
      </c>
      <c r="G113" s="9">
        <v>531000</v>
      </c>
      <c r="H113" s="9">
        <v>167000</v>
      </c>
      <c r="I113" s="9">
        <v>364000</v>
      </c>
      <c r="J113" s="9">
        <v>228000</v>
      </c>
      <c r="K113" s="9">
        <v>96000</v>
      </c>
      <c r="L113" s="9">
        <v>133000</v>
      </c>
    </row>
    <row r="114" spans="1:12">
      <c r="A114" s="116" t="s">
        <v>207</v>
      </c>
      <c r="B114" s="105">
        <v>1561000</v>
      </c>
      <c r="C114" s="9">
        <v>1056000</v>
      </c>
      <c r="D114" s="9">
        <v>585000</v>
      </c>
      <c r="E114" s="9">
        <v>402000</v>
      </c>
      <c r="F114" s="9">
        <v>69000</v>
      </c>
      <c r="G114" s="9">
        <v>317000</v>
      </c>
      <c r="H114" s="9">
        <v>139000</v>
      </c>
      <c r="I114" s="9">
        <v>178000</v>
      </c>
      <c r="J114" s="9">
        <v>188000</v>
      </c>
      <c r="K114" s="9">
        <v>91000</v>
      </c>
      <c r="L114" s="9">
        <v>98000</v>
      </c>
    </row>
    <row r="115" spans="1:12">
      <c r="A115" s="116" t="s">
        <v>208</v>
      </c>
      <c r="B115" s="105">
        <v>244000</v>
      </c>
      <c r="C115" s="9">
        <v>47000</v>
      </c>
      <c r="D115" s="9">
        <v>31000</v>
      </c>
      <c r="E115" s="9">
        <v>9000</v>
      </c>
      <c r="F115" s="9">
        <v>7000</v>
      </c>
      <c r="G115" s="9">
        <v>195000</v>
      </c>
      <c r="H115" s="9">
        <v>12000</v>
      </c>
      <c r="I115" s="9">
        <v>183000</v>
      </c>
      <c r="J115" s="9">
        <v>2000</v>
      </c>
      <c r="K115" s="13" t="s">
        <v>191</v>
      </c>
      <c r="L115" s="9">
        <v>1000</v>
      </c>
    </row>
    <row r="116" spans="1:12">
      <c r="A116" s="116" t="s">
        <v>209</v>
      </c>
      <c r="B116" s="105">
        <v>86000</v>
      </c>
      <c r="C116" s="9">
        <v>77000</v>
      </c>
      <c r="D116" s="9">
        <v>72000</v>
      </c>
      <c r="E116" s="9">
        <v>3000</v>
      </c>
      <c r="F116" s="9">
        <v>2000</v>
      </c>
      <c r="G116" s="9">
        <v>6000</v>
      </c>
      <c r="H116" s="9">
        <v>5000</v>
      </c>
      <c r="I116" s="9">
        <v>1000</v>
      </c>
      <c r="J116" s="9">
        <v>3000</v>
      </c>
      <c r="K116" s="9">
        <v>1000</v>
      </c>
      <c r="L116" s="9">
        <v>2000</v>
      </c>
    </row>
    <row r="117" spans="1:12">
      <c r="A117" s="116" t="s">
        <v>210</v>
      </c>
      <c r="B117" s="105">
        <v>189000</v>
      </c>
      <c r="C117" s="9">
        <v>141000</v>
      </c>
      <c r="D117" s="9">
        <v>116000</v>
      </c>
      <c r="E117" s="9">
        <v>13000</v>
      </c>
      <c r="F117" s="9">
        <v>12000</v>
      </c>
      <c r="G117" s="9">
        <v>14000</v>
      </c>
      <c r="H117" s="9">
        <v>11000</v>
      </c>
      <c r="I117" s="13" t="s">
        <v>191</v>
      </c>
      <c r="J117" s="9">
        <v>35000</v>
      </c>
      <c r="K117" s="9">
        <v>3000</v>
      </c>
      <c r="L117" s="9">
        <v>32000</v>
      </c>
    </row>
    <row r="118" spans="1:12">
      <c r="A118" s="115" t="s">
        <v>211</v>
      </c>
      <c r="B118" s="105">
        <v>8928000</v>
      </c>
      <c r="C118" s="9">
        <v>4756000</v>
      </c>
      <c r="D118" s="9">
        <v>3493000</v>
      </c>
      <c r="E118" s="9">
        <v>795000</v>
      </c>
      <c r="F118" s="9">
        <v>468000</v>
      </c>
      <c r="G118" s="9">
        <v>3279000</v>
      </c>
      <c r="H118" s="9">
        <v>590000</v>
      </c>
      <c r="I118" s="9">
        <v>2689000</v>
      </c>
      <c r="J118" s="9">
        <v>893000</v>
      </c>
      <c r="K118" s="9">
        <v>362000</v>
      </c>
      <c r="L118" s="9">
        <v>531000</v>
      </c>
    </row>
    <row r="119" spans="1:12">
      <c r="A119" s="116" t="s">
        <v>212</v>
      </c>
      <c r="B119" s="105">
        <v>3311000</v>
      </c>
      <c r="C119" s="9">
        <v>2732000</v>
      </c>
      <c r="D119" s="9">
        <v>2357000</v>
      </c>
      <c r="E119" s="9">
        <v>205000</v>
      </c>
      <c r="F119" s="9">
        <v>171000</v>
      </c>
      <c r="G119" s="9">
        <v>240000</v>
      </c>
      <c r="H119" s="9">
        <v>125000</v>
      </c>
      <c r="I119" s="9">
        <v>115000</v>
      </c>
      <c r="J119" s="9">
        <v>339000</v>
      </c>
      <c r="K119" s="9">
        <v>213000</v>
      </c>
      <c r="L119" s="9">
        <v>125000</v>
      </c>
    </row>
    <row r="120" spans="1:12">
      <c r="A120" s="155" t="s">
        <v>213</v>
      </c>
      <c r="B120" s="105">
        <v>2888000</v>
      </c>
      <c r="C120" s="9">
        <v>414000</v>
      </c>
      <c r="D120" s="9">
        <v>238000</v>
      </c>
      <c r="E120" s="9">
        <v>78000</v>
      </c>
      <c r="F120" s="9">
        <v>99000</v>
      </c>
      <c r="G120" s="9">
        <v>2382000</v>
      </c>
      <c r="H120" s="9">
        <v>193000</v>
      </c>
      <c r="I120" s="9">
        <v>2189000</v>
      </c>
      <c r="J120" s="9">
        <v>91000</v>
      </c>
      <c r="K120" s="9">
        <v>4000</v>
      </c>
      <c r="L120" s="9">
        <v>88000</v>
      </c>
    </row>
    <row r="121" spans="1:12">
      <c r="A121" s="116" t="s">
        <v>214</v>
      </c>
      <c r="B121" s="105">
        <v>841000</v>
      </c>
      <c r="C121" s="9">
        <v>577000</v>
      </c>
      <c r="D121" s="9">
        <v>217000</v>
      </c>
      <c r="E121" s="9">
        <v>322000</v>
      </c>
      <c r="F121" s="9">
        <v>39000</v>
      </c>
      <c r="G121" s="9">
        <v>149000</v>
      </c>
      <c r="H121" s="9">
        <v>51000</v>
      </c>
      <c r="I121" s="9">
        <v>98000</v>
      </c>
      <c r="J121" s="9">
        <v>114000</v>
      </c>
      <c r="K121" s="9">
        <v>36000</v>
      </c>
      <c r="L121" s="9">
        <v>78000</v>
      </c>
    </row>
    <row r="122" spans="1:12">
      <c r="A122" s="116" t="s">
        <v>215</v>
      </c>
      <c r="B122" s="105">
        <v>210000</v>
      </c>
      <c r="C122" s="9">
        <v>186000</v>
      </c>
      <c r="D122" s="9">
        <v>158000</v>
      </c>
      <c r="E122" s="9">
        <v>7000</v>
      </c>
      <c r="F122" s="9">
        <v>20000</v>
      </c>
      <c r="G122" s="9">
        <v>14000</v>
      </c>
      <c r="H122" s="13" t="s">
        <v>191</v>
      </c>
      <c r="I122" s="9">
        <v>7000</v>
      </c>
      <c r="J122" s="13" t="s">
        <v>191</v>
      </c>
      <c r="K122" s="13" t="s">
        <v>191</v>
      </c>
      <c r="L122" s="13" t="s">
        <v>191</v>
      </c>
    </row>
    <row r="123" spans="1:12">
      <c r="A123" s="116" t="s">
        <v>216</v>
      </c>
      <c r="B123" s="105">
        <v>740000</v>
      </c>
      <c r="C123" s="9">
        <v>418000</v>
      </c>
      <c r="D123" s="9">
        <v>225000</v>
      </c>
      <c r="E123" s="9">
        <v>107000</v>
      </c>
      <c r="F123" s="9">
        <v>85000</v>
      </c>
      <c r="G123" s="9">
        <v>287000</v>
      </c>
      <c r="H123" s="9">
        <v>124000</v>
      </c>
      <c r="I123" s="9">
        <v>163000</v>
      </c>
      <c r="J123" s="9">
        <v>35000</v>
      </c>
      <c r="K123" s="9">
        <v>18000</v>
      </c>
      <c r="L123" s="9">
        <v>17000</v>
      </c>
    </row>
    <row r="124" spans="1:12">
      <c r="A124" s="116" t="s">
        <v>217</v>
      </c>
      <c r="B124" s="105">
        <v>938000</v>
      </c>
      <c r="C124" s="9">
        <v>429000</v>
      </c>
      <c r="D124" s="9">
        <v>299000</v>
      </c>
      <c r="E124" s="9">
        <v>77000</v>
      </c>
      <c r="F124" s="9">
        <v>54000</v>
      </c>
      <c r="G124" s="9">
        <v>207000</v>
      </c>
      <c r="H124" s="9">
        <v>90000</v>
      </c>
      <c r="I124" s="9">
        <v>117000</v>
      </c>
      <c r="J124" s="9">
        <v>302000</v>
      </c>
      <c r="K124" s="9">
        <v>83000</v>
      </c>
      <c r="L124" s="9">
        <v>219000</v>
      </c>
    </row>
    <row r="125" spans="1:12">
      <c r="A125" s="135" t="s">
        <v>221</v>
      </c>
      <c r="B125" s="136">
        <v>2141000</v>
      </c>
      <c r="C125" s="137">
        <v>995000</v>
      </c>
      <c r="D125" s="137">
        <v>695000</v>
      </c>
      <c r="E125" s="137">
        <v>193000</v>
      </c>
      <c r="F125" s="137">
        <v>107000</v>
      </c>
      <c r="G125" s="137">
        <v>981000</v>
      </c>
      <c r="H125" s="137">
        <v>808000</v>
      </c>
      <c r="I125" s="137">
        <v>173000</v>
      </c>
      <c r="J125" s="137">
        <v>165000</v>
      </c>
      <c r="K125" s="137">
        <v>115000</v>
      </c>
      <c r="L125" s="137">
        <v>50000</v>
      </c>
    </row>
    <row r="126" spans="1:12">
      <c r="A126" s="138" t="s">
        <v>178</v>
      </c>
      <c r="B126" s="105">
        <v>1302000</v>
      </c>
      <c r="C126" s="9">
        <v>647000</v>
      </c>
      <c r="D126" s="9">
        <v>504000</v>
      </c>
      <c r="E126" s="9">
        <v>85000</v>
      </c>
      <c r="F126" s="9">
        <v>57000</v>
      </c>
      <c r="G126" s="9">
        <v>547000</v>
      </c>
      <c r="H126" s="9">
        <v>498000</v>
      </c>
      <c r="I126" s="9">
        <v>49000</v>
      </c>
      <c r="J126" s="9">
        <v>109000</v>
      </c>
      <c r="K126" s="9">
        <v>83000</v>
      </c>
      <c r="L126" s="9">
        <v>26000</v>
      </c>
    </row>
    <row r="127" spans="1:12">
      <c r="A127" s="156" t="s">
        <v>179</v>
      </c>
      <c r="B127" s="105">
        <v>380000</v>
      </c>
      <c r="C127" s="9">
        <v>163000</v>
      </c>
      <c r="D127" s="9">
        <v>123000</v>
      </c>
      <c r="E127" s="9">
        <v>31000</v>
      </c>
      <c r="F127" s="9">
        <v>9000</v>
      </c>
      <c r="G127" s="9">
        <v>181000</v>
      </c>
      <c r="H127" s="9">
        <v>168000</v>
      </c>
      <c r="I127" s="9">
        <v>13000</v>
      </c>
      <c r="J127" s="9">
        <v>36000</v>
      </c>
      <c r="K127" s="9">
        <v>31000</v>
      </c>
      <c r="L127" s="9">
        <v>6000</v>
      </c>
    </row>
    <row r="128" spans="1:12">
      <c r="A128" s="140" t="s">
        <v>180</v>
      </c>
      <c r="B128" s="105">
        <v>23000</v>
      </c>
      <c r="C128" s="9">
        <v>11000</v>
      </c>
      <c r="D128" s="9">
        <v>10000</v>
      </c>
      <c r="E128" s="13" t="s">
        <v>191</v>
      </c>
      <c r="F128" s="13" t="s">
        <v>220</v>
      </c>
      <c r="G128" s="9">
        <v>11000</v>
      </c>
      <c r="H128" s="9">
        <v>11000</v>
      </c>
      <c r="I128" s="13" t="s">
        <v>220</v>
      </c>
      <c r="J128" s="9">
        <v>1000</v>
      </c>
      <c r="K128" s="9">
        <v>1000</v>
      </c>
      <c r="L128" s="13" t="s">
        <v>220</v>
      </c>
    </row>
    <row r="129" spans="1:12">
      <c r="A129" s="140" t="s">
        <v>181</v>
      </c>
      <c r="B129" s="105">
        <v>350000</v>
      </c>
      <c r="C129" s="9">
        <v>149000</v>
      </c>
      <c r="D129" s="9">
        <v>111000</v>
      </c>
      <c r="E129" s="9">
        <v>30000</v>
      </c>
      <c r="F129" s="9">
        <v>9000</v>
      </c>
      <c r="G129" s="9">
        <v>168000</v>
      </c>
      <c r="H129" s="9">
        <v>155000</v>
      </c>
      <c r="I129" s="9">
        <v>13000</v>
      </c>
      <c r="J129" s="9">
        <v>33000</v>
      </c>
      <c r="K129" s="9">
        <v>28000</v>
      </c>
      <c r="L129" s="9">
        <v>5000</v>
      </c>
    </row>
    <row r="130" spans="1:12">
      <c r="A130" s="140" t="s">
        <v>182</v>
      </c>
      <c r="B130" s="105">
        <v>7000</v>
      </c>
      <c r="C130" s="9">
        <v>2000</v>
      </c>
      <c r="D130" s="9">
        <v>2000</v>
      </c>
      <c r="E130" s="13" t="s">
        <v>220</v>
      </c>
      <c r="F130" s="13" t="s">
        <v>220</v>
      </c>
      <c r="G130" s="9">
        <v>3000</v>
      </c>
      <c r="H130" s="9">
        <v>3000</v>
      </c>
      <c r="I130" s="13" t="s">
        <v>220</v>
      </c>
      <c r="J130" s="13" t="s">
        <v>191</v>
      </c>
      <c r="K130" s="13" t="s">
        <v>191</v>
      </c>
      <c r="L130" s="13" t="s">
        <v>222</v>
      </c>
    </row>
    <row r="131" spans="1:12">
      <c r="A131" s="139" t="s">
        <v>183</v>
      </c>
      <c r="B131" s="105">
        <v>127000</v>
      </c>
      <c r="C131" s="9">
        <v>66000</v>
      </c>
      <c r="D131" s="9">
        <v>62000</v>
      </c>
      <c r="E131" s="9">
        <v>3000</v>
      </c>
      <c r="F131" s="13" t="s">
        <v>191</v>
      </c>
      <c r="G131" s="9">
        <v>55000</v>
      </c>
      <c r="H131" s="9">
        <v>51000</v>
      </c>
      <c r="I131" s="9">
        <v>4000</v>
      </c>
      <c r="J131" s="9">
        <v>5000</v>
      </c>
      <c r="K131" s="9">
        <v>5000</v>
      </c>
      <c r="L131" s="13" t="s">
        <v>220</v>
      </c>
    </row>
    <row r="132" spans="1:12">
      <c r="A132" s="140" t="s">
        <v>184</v>
      </c>
      <c r="B132" s="105">
        <v>68000</v>
      </c>
      <c r="C132" s="9">
        <v>45000</v>
      </c>
      <c r="D132" s="9">
        <v>43000</v>
      </c>
      <c r="E132" s="9">
        <v>1000</v>
      </c>
      <c r="F132" s="13" t="s">
        <v>191</v>
      </c>
      <c r="G132" s="9">
        <v>19000</v>
      </c>
      <c r="H132" s="9">
        <v>19000</v>
      </c>
      <c r="I132" s="13" t="s">
        <v>220</v>
      </c>
      <c r="J132" s="9">
        <v>3000</v>
      </c>
      <c r="K132" s="9">
        <v>3000</v>
      </c>
      <c r="L132" s="13" t="s">
        <v>220</v>
      </c>
    </row>
    <row r="133" spans="1:12">
      <c r="A133" s="140" t="s">
        <v>185</v>
      </c>
      <c r="B133" s="105">
        <v>59000</v>
      </c>
      <c r="C133" s="9">
        <v>21000</v>
      </c>
      <c r="D133" s="9">
        <v>19000</v>
      </c>
      <c r="E133" s="9">
        <v>1000</v>
      </c>
      <c r="F133" s="13" t="s">
        <v>222</v>
      </c>
      <c r="G133" s="9">
        <v>35000</v>
      </c>
      <c r="H133" s="9">
        <v>32000</v>
      </c>
      <c r="I133" s="9">
        <v>3000</v>
      </c>
      <c r="J133" s="9">
        <v>2000</v>
      </c>
      <c r="K133" s="9">
        <v>2000</v>
      </c>
      <c r="L133" s="13" t="s">
        <v>220</v>
      </c>
    </row>
    <row r="134" spans="1:12">
      <c r="A134" s="139" t="s">
        <v>186</v>
      </c>
      <c r="B134" s="105">
        <v>215000</v>
      </c>
      <c r="C134" s="9">
        <v>116000</v>
      </c>
      <c r="D134" s="9">
        <v>99000</v>
      </c>
      <c r="E134" s="9">
        <v>10000</v>
      </c>
      <c r="F134" s="9">
        <v>7000</v>
      </c>
      <c r="G134" s="9">
        <v>75000</v>
      </c>
      <c r="H134" s="9">
        <v>70000</v>
      </c>
      <c r="I134" s="9">
        <v>5000</v>
      </c>
      <c r="J134" s="9">
        <v>24000</v>
      </c>
      <c r="K134" s="9">
        <v>21000</v>
      </c>
      <c r="L134" s="9">
        <v>3000</v>
      </c>
    </row>
    <row r="135" spans="1:12">
      <c r="A135" s="140" t="s">
        <v>187</v>
      </c>
      <c r="B135" s="105">
        <v>97000</v>
      </c>
      <c r="C135" s="9">
        <v>60000</v>
      </c>
      <c r="D135" s="9">
        <v>54000</v>
      </c>
      <c r="E135" s="9">
        <v>3000</v>
      </c>
      <c r="F135" s="9">
        <v>3000</v>
      </c>
      <c r="G135" s="9">
        <v>31000</v>
      </c>
      <c r="H135" s="9">
        <v>27000</v>
      </c>
      <c r="I135" s="9">
        <v>4000</v>
      </c>
      <c r="J135" s="9">
        <v>7000</v>
      </c>
      <c r="K135" s="9">
        <v>6000</v>
      </c>
      <c r="L135" s="13" t="s">
        <v>222</v>
      </c>
    </row>
    <row r="136" spans="1:12">
      <c r="A136" s="140" t="s">
        <v>188</v>
      </c>
      <c r="B136" s="105">
        <v>33000</v>
      </c>
      <c r="C136" s="9">
        <v>11000</v>
      </c>
      <c r="D136" s="9">
        <v>8000</v>
      </c>
      <c r="E136" s="9">
        <v>3000</v>
      </c>
      <c r="F136" s="13" t="s">
        <v>220</v>
      </c>
      <c r="G136" s="9">
        <v>16000</v>
      </c>
      <c r="H136" s="9">
        <v>15000</v>
      </c>
      <c r="I136" s="13" t="s">
        <v>191</v>
      </c>
      <c r="J136" s="9">
        <v>6000</v>
      </c>
      <c r="K136" s="9">
        <v>5000</v>
      </c>
      <c r="L136" s="13" t="s">
        <v>220</v>
      </c>
    </row>
    <row r="137" spans="1:12">
      <c r="A137" s="140" t="s">
        <v>189</v>
      </c>
      <c r="B137" s="105">
        <v>82000</v>
      </c>
      <c r="C137" s="9">
        <v>44000</v>
      </c>
      <c r="D137" s="9">
        <v>36000</v>
      </c>
      <c r="E137" s="9">
        <v>4000</v>
      </c>
      <c r="F137" s="9">
        <v>3000</v>
      </c>
      <c r="G137" s="9">
        <v>29000</v>
      </c>
      <c r="H137" s="9">
        <v>28000</v>
      </c>
      <c r="I137" s="9">
        <v>1000</v>
      </c>
      <c r="J137" s="9">
        <v>10000</v>
      </c>
      <c r="K137" s="9">
        <v>8000</v>
      </c>
      <c r="L137" s="9">
        <v>1000</v>
      </c>
    </row>
    <row r="138" spans="1:12">
      <c r="A138" s="140" t="s">
        <v>190</v>
      </c>
      <c r="B138" s="105">
        <v>2000</v>
      </c>
      <c r="C138" s="13" t="s">
        <v>191</v>
      </c>
      <c r="D138" s="13" t="s">
        <v>191</v>
      </c>
      <c r="E138" s="13" t="s">
        <v>220</v>
      </c>
      <c r="F138" s="13" t="s">
        <v>220</v>
      </c>
      <c r="G138" s="13" t="s">
        <v>220</v>
      </c>
      <c r="H138" s="13" t="s">
        <v>220</v>
      </c>
      <c r="I138" s="13" t="s">
        <v>220</v>
      </c>
      <c r="J138" s="13" t="s">
        <v>220</v>
      </c>
      <c r="K138" s="13" t="s">
        <v>220</v>
      </c>
      <c r="L138" s="13" t="s">
        <v>220</v>
      </c>
    </row>
    <row r="139" spans="1:12">
      <c r="A139" s="139" t="s">
        <v>192</v>
      </c>
      <c r="B139" s="105">
        <v>325000</v>
      </c>
      <c r="C139" s="9">
        <v>132000</v>
      </c>
      <c r="D139" s="9">
        <v>67000</v>
      </c>
      <c r="E139" s="9">
        <v>35000</v>
      </c>
      <c r="F139" s="9">
        <v>30000</v>
      </c>
      <c r="G139" s="9">
        <v>169000</v>
      </c>
      <c r="H139" s="9">
        <v>143000</v>
      </c>
      <c r="I139" s="9">
        <v>25000</v>
      </c>
      <c r="J139" s="9">
        <v>25000</v>
      </c>
      <c r="K139" s="9">
        <v>14000</v>
      </c>
      <c r="L139" s="9">
        <v>11000</v>
      </c>
    </row>
    <row r="140" spans="1:12">
      <c r="A140" s="140" t="s">
        <v>193</v>
      </c>
      <c r="B140" s="105">
        <v>42000</v>
      </c>
      <c r="C140" s="9">
        <v>19000</v>
      </c>
      <c r="D140" s="9">
        <v>16000</v>
      </c>
      <c r="E140" s="9">
        <v>2000</v>
      </c>
      <c r="F140" s="13" t="s">
        <v>191</v>
      </c>
      <c r="G140" s="9">
        <v>19000</v>
      </c>
      <c r="H140" s="9">
        <v>17000</v>
      </c>
      <c r="I140" s="13" t="s">
        <v>191</v>
      </c>
      <c r="J140" s="9">
        <v>4000</v>
      </c>
      <c r="K140" s="9">
        <v>3000</v>
      </c>
      <c r="L140" s="13" t="s">
        <v>191</v>
      </c>
    </row>
    <row r="141" spans="1:12">
      <c r="A141" s="140" t="s">
        <v>194</v>
      </c>
      <c r="B141" s="105">
        <v>32000</v>
      </c>
      <c r="C141" s="9">
        <v>8000</v>
      </c>
      <c r="D141" s="9">
        <v>4000</v>
      </c>
      <c r="E141" s="9">
        <v>3000</v>
      </c>
      <c r="F141" s="13" t="s">
        <v>220</v>
      </c>
      <c r="G141" s="9">
        <v>20000</v>
      </c>
      <c r="H141" s="9">
        <v>19000</v>
      </c>
      <c r="I141" s="9">
        <v>1000</v>
      </c>
      <c r="J141" s="9">
        <v>4000</v>
      </c>
      <c r="K141" s="9">
        <v>1000</v>
      </c>
      <c r="L141" s="13" t="s">
        <v>191</v>
      </c>
    </row>
    <row r="142" spans="1:12">
      <c r="A142" s="140" t="s">
        <v>195</v>
      </c>
      <c r="B142" s="105">
        <v>165000</v>
      </c>
      <c r="C142" s="9">
        <v>85000</v>
      </c>
      <c r="D142" s="9">
        <v>38000</v>
      </c>
      <c r="E142" s="9">
        <v>22000</v>
      </c>
      <c r="F142" s="9">
        <v>26000</v>
      </c>
      <c r="G142" s="9">
        <v>66000</v>
      </c>
      <c r="H142" s="9">
        <v>52000</v>
      </c>
      <c r="I142" s="9">
        <v>14000</v>
      </c>
      <c r="J142" s="9">
        <v>14000</v>
      </c>
      <c r="K142" s="9">
        <v>9000</v>
      </c>
      <c r="L142" s="9">
        <v>5000</v>
      </c>
    </row>
    <row r="143" spans="1:12">
      <c r="A143" s="140" t="s">
        <v>196</v>
      </c>
      <c r="B143" s="105">
        <v>46000</v>
      </c>
      <c r="C143" s="9">
        <v>7000</v>
      </c>
      <c r="D143" s="9">
        <v>3000</v>
      </c>
      <c r="E143" s="9">
        <v>3000</v>
      </c>
      <c r="F143" s="9">
        <v>1000</v>
      </c>
      <c r="G143" s="9">
        <v>37000</v>
      </c>
      <c r="H143" s="9">
        <v>34000</v>
      </c>
      <c r="I143" s="13" t="s">
        <v>191</v>
      </c>
      <c r="J143" s="9">
        <v>2000</v>
      </c>
      <c r="K143" s="9">
        <v>1000</v>
      </c>
      <c r="L143" s="13" t="s">
        <v>191</v>
      </c>
    </row>
    <row r="144" spans="1:12">
      <c r="A144" s="140" t="s">
        <v>197</v>
      </c>
      <c r="B144" s="105">
        <v>40000</v>
      </c>
      <c r="C144" s="9">
        <v>12000</v>
      </c>
      <c r="D144" s="9">
        <v>5000</v>
      </c>
      <c r="E144" s="9">
        <v>5000</v>
      </c>
      <c r="F144" s="13" t="s">
        <v>220</v>
      </c>
      <c r="G144" s="9">
        <v>26000</v>
      </c>
      <c r="H144" s="9">
        <v>22000</v>
      </c>
      <c r="I144" s="9">
        <v>4000</v>
      </c>
      <c r="J144" s="13" t="s">
        <v>191</v>
      </c>
      <c r="K144" s="13" t="s">
        <v>222</v>
      </c>
      <c r="L144" s="13" t="s">
        <v>191</v>
      </c>
    </row>
    <row r="145" spans="1:12">
      <c r="A145" s="139" t="s">
        <v>198</v>
      </c>
      <c r="B145" s="107">
        <v>256000</v>
      </c>
      <c r="C145" s="7">
        <v>171000</v>
      </c>
      <c r="D145" s="7">
        <v>152000</v>
      </c>
      <c r="E145" s="7">
        <v>8000</v>
      </c>
      <c r="F145" s="7">
        <v>11000</v>
      </c>
      <c r="G145" s="7">
        <v>67000</v>
      </c>
      <c r="H145" s="7">
        <v>65000</v>
      </c>
      <c r="I145" s="7">
        <v>2000</v>
      </c>
      <c r="J145" s="7">
        <v>18000</v>
      </c>
      <c r="K145" s="7">
        <v>12000</v>
      </c>
      <c r="L145" s="7">
        <v>6000</v>
      </c>
    </row>
    <row r="146" spans="1:12">
      <c r="A146" s="140" t="s">
        <v>199</v>
      </c>
      <c r="B146" s="105">
        <v>11000</v>
      </c>
      <c r="C146" s="9">
        <v>5000</v>
      </c>
      <c r="D146" s="9">
        <v>4000</v>
      </c>
      <c r="E146" s="13" t="s">
        <v>220</v>
      </c>
      <c r="F146" s="13" t="s">
        <v>220</v>
      </c>
      <c r="G146" s="9">
        <v>4000</v>
      </c>
      <c r="H146" s="9">
        <v>4000</v>
      </c>
      <c r="I146" s="13" t="s">
        <v>220</v>
      </c>
      <c r="J146" s="9">
        <v>2000</v>
      </c>
      <c r="K146" s="9">
        <v>2000</v>
      </c>
      <c r="L146" s="13" t="s">
        <v>220</v>
      </c>
    </row>
    <row r="147" spans="1:12">
      <c r="A147" s="140" t="s">
        <v>200</v>
      </c>
      <c r="B147" s="105">
        <v>30000</v>
      </c>
      <c r="C147" s="9">
        <v>23000</v>
      </c>
      <c r="D147" s="9">
        <v>20000</v>
      </c>
      <c r="E147" s="13" t="s">
        <v>220</v>
      </c>
      <c r="F147" s="13" t="s">
        <v>191</v>
      </c>
      <c r="G147" s="9">
        <v>6000</v>
      </c>
      <c r="H147" s="9">
        <v>6000</v>
      </c>
      <c r="I147" s="13" t="s">
        <v>220</v>
      </c>
      <c r="J147" s="13" t="s">
        <v>191</v>
      </c>
      <c r="K147" s="13" t="s">
        <v>220</v>
      </c>
      <c r="L147" s="13" t="s">
        <v>220</v>
      </c>
    </row>
    <row r="148" spans="1:12">
      <c r="A148" s="140" t="s">
        <v>201</v>
      </c>
      <c r="B148" s="105">
        <v>22000</v>
      </c>
      <c r="C148" s="9">
        <v>11000</v>
      </c>
      <c r="D148" s="9">
        <v>9000</v>
      </c>
      <c r="E148" s="13" t="s">
        <v>220</v>
      </c>
      <c r="F148" s="9">
        <v>1000</v>
      </c>
      <c r="G148" s="9">
        <v>8000</v>
      </c>
      <c r="H148" s="9">
        <v>7000</v>
      </c>
      <c r="I148" s="13" t="s">
        <v>220</v>
      </c>
      <c r="J148" s="9">
        <v>3000</v>
      </c>
      <c r="K148" s="9">
        <v>1000</v>
      </c>
      <c r="L148" s="9">
        <v>2000</v>
      </c>
    </row>
    <row r="149" spans="1:12">
      <c r="A149" s="140" t="s">
        <v>202</v>
      </c>
      <c r="B149" s="105">
        <v>79000</v>
      </c>
      <c r="C149" s="9">
        <v>58000</v>
      </c>
      <c r="D149" s="9">
        <v>54000</v>
      </c>
      <c r="E149" s="9">
        <v>2000</v>
      </c>
      <c r="F149" s="13" t="s">
        <v>191</v>
      </c>
      <c r="G149" s="9">
        <v>18000</v>
      </c>
      <c r="H149" s="9">
        <v>17000</v>
      </c>
      <c r="I149" s="13" t="s">
        <v>191</v>
      </c>
      <c r="J149" s="9">
        <v>3000</v>
      </c>
      <c r="K149" s="9">
        <v>3000</v>
      </c>
      <c r="L149" s="13" t="s">
        <v>222</v>
      </c>
    </row>
    <row r="150" spans="1:12">
      <c r="A150" s="140" t="s">
        <v>203</v>
      </c>
      <c r="B150" s="105">
        <v>11000</v>
      </c>
      <c r="C150" s="9">
        <v>7000</v>
      </c>
      <c r="D150" s="9">
        <v>7000</v>
      </c>
      <c r="E150" s="13" t="s">
        <v>220</v>
      </c>
      <c r="F150" s="13" t="s">
        <v>220</v>
      </c>
      <c r="G150" s="9">
        <v>2000</v>
      </c>
      <c r="H150" s="9">
        <v>2000</v>
      </c>
      <c r="I150" s="13" t="s">
        <v>220</v>
      </c>
      <c r="J150" s="13" t="s">
        <v>220</v>
      </c>
      <c r="K150" s="13" t="s">
        <v>220</v>
      </c>
      <c r="L150" s="13" t="s">
        <v>220</v>
      </c>
    </row>
    <row r="151" spans="1:12">
      <c r="A151" s="140" t="s">
        <v>204</v>
      </c>
      <c r="B151" s="105">
        <v>29000</v>
      </c>
      <c r="C151" s="9">
        <v>20000</v>
      </c>
      <c r="D151" s="9">
        <v>18000</v>
      </c>
      <c r="E151" s="9">
        <v>1000</v>
      </c>
      <c r="F151" s="13" t="s">
        <v>191</v>
      </c>
      <c r="G151" s="9">
        <v>8000</v>
      </c>
      <c r="H151" s="9">
        <v>7000</v>
      </c>
      <c r="I151" s="13" t="s">
        <v>222</v>
      </c>
      <c r="J151" s="9">
        <v>1000</v>
      </c>
      <c r="K151" s="13" t="s">
        <v>222</v>
      </c>
      <c r="L151" s="13" t="s">
        <v>220</v>
      </c>
    </row>
    <row r="152" spans="1:12">
      <c r="A152" s="140" t="s">
        <v>205</v>
      </c>
      <c r="B152" s="105">
        <v>75000</v>
      </c>
      <c r="C152" s="9">
        <v>46000</v>
      </c>
      <c r="D152" s="9">
        <v>40000</v>
      </c>
      <c r="E152" s="9">
        <v>3000</v>
      </c>
      <c r="F152" s="9">
        <v>2000</v>
      </c>
      <c r="G152" s="9">
        <v>22000</v>
      </c>
      <c r="H152" s="9">
        <v>21000</v>
      </c>
      <c r="I152" s="13" t="s">
        <v>191</v>
      </c>
      <c r="J152" s="9">
        <v>7000</v>
      </c>
      <c r="K152" s="9">
        <v>6000</v>
      </c>
      <c r="L152" s="9">
        <v>2000</v>
      </c>
    </row>
    <row r="153" spans="1:12">
      <c r="A153" s="138" t="s">
        <v>206</v>
      </c>
      <c r="B153" s="105">
        <v>304000</v>
      </c>
      <c r="C153" s="9">
        <v>185000</v>
      </c>
      <c r="D153" s="9">
        <v>126000</v>
      </c>
      <c r="E153" s="9">
        <v>41000</v>
      </c>
      <c r="F153" s="9">
        <v>18000</v>
      </c>
      <c r="G153" s="9">
        <v>88000</v>
      </c>
      <c r="H153" s="9">
        <v>78000</v>
      </c>
      <c r="I153" s="9">
        <v>10000</v>
      </c>
      <c r="J153" s="9">
        <v>32000</v>
      </c>
      <c r="K153" s="9">
        <v>20000</v>
      </c>
      <c r="L153" s="9">
        <v>12000</v>
      </c>
    </row>
    <row r="154" spans="1:12">
      <c r="A154" s="139" t="s">
        <v>207</v>
      </c>
      <c r="B154" s="105">
        <v>275000</v>
      </c>
      <c r="C154" s="9">
        <v>174000</v>
      </c>
      <c r="D154" s="9">
        <v>118000</v>
      </c>
      <c r="E154" s="9">
        <v>38000</v>
      </c>
      <c r="F154" s="9">
        <v>18000</v>
      </c>
      <c r="G154" s="9">
        <v>69000</v>
      </c>
      <c r="H154" s="9">
        <v>62000</v>
      </c>
      <c r="I154" s="9">
        <v>7000</v>
      </c>
      <c r="J154" s="9">
        <v>31000</v>
      </c>
      <c r="K154" s="9">
        <v>19000</v>
      </c>
      <c r="L154" s="9">
        <v>12000</v>
      </c>
    </row>
    <row r="155" spans="1:12">
      <c r="A155" s="139" t="s">
        <v>208</v>
      </c>
      <c r="B155" s="105">
        <v>14000</v>
      </c>
      <c r="C155" s="13" t="s">
        <v>220</v>
      </c>
      <c r="D155" s="13" t="s">
        <v>220</v>
      </c>
      <c r="E155" s="13" t="s">
        <v>220</v>
      </c>
      <c r="F155" s="13" t="s">
        <v>220</v>
      </c>
      <c r="G155" s="9">
        <v>12000</v>
      </c>
      <c r="H155" s="9">
        <v>10000</v>
      </c>
      <c r="I155" s="9">
        <v>2000</v>
      </c>
      <c r="J155" s="13" t="s">
        <v>220</v>
      </c>
      <c r="K155" s="13" t="s">
        <v>220</v>
      </c>
      <c r="L155" s="13" t="s">
        <v>220</v>
      </c>
    </row>
    <row r="156" spans="1:12">
      <c r="A156" s="139" t="s">
        <v>209</v>
      </c>
      <c r="B156" s="105">
        <v>9000</v>
      </c>
      <c r="C156" s="9">
        <v>6000</v>
      </c>
      <c r="D156" s="9">
        <v>5000</v>
      </c>
      <c r="E156" s="13" t="s">
        <v>220</v>
      </c>
      <c r="F156" s="13" t="s">
        <v>220</v>
      </c>
      <c r="G156" s="9">
        <v>3000</v>
      </c>
      <c r="H156" s="9">
        <v>2000</v>
      </c>
      <c r="I156" s="13" t="s">
        <v>220</v>
      </c>
      <c r="J156" s="13" t="s">
        <v>220</v>
      </c>
      <c r="K156" s="13" t="s">
        <v>220</v>
      </c>
      <c r="L156" s="13" t="s">
        <v>220</v>
      </c>
    </row>
    <row r="157" spans="1:12">
      <c r="A157" s="139" t="s">
        <v>210</v>
      </c>
      <c r="B157" s="105">
        <v>7000</v>
      </c>
      <c r="C157" s="9">
        <v>3000</v>
      </c>
      <c r="D157" s="9">
        <v>3000</v>
      </c>
      <c r="E157" s="13" t="s">
        <v>220</v>
      </c>
      <c r="F157" s="13" t="s">
        <v>220</v>
      </c>
      <c r="G157" s="9">
        <v>3000</v>
      </c>
      <c r="H157" s="9">
        <v>3000</v>
      </c>
      <c r="I157" s="13" t="s">
        <v>220</v>
      </c>
      <c r="J157" s="13" t="s">
        <v>220</v>
      </c>
      <c r="K157" s="13" t="s">
        <v>220</v>
      </c>
      <c r="L157" s="13" t="s">
        <v>220</v>
      </c>
    </row>
    <row r="158" spans="1:12">
      <c r="A158" s="138" t="s">
        <v>211</v>
      </c>
      <c r="B158" s="105">
        <v>534000</v>
      </c>
      <c r="C158" s="9">
        <v>163000</v>
      </c>
      <c r="D158" s="9">
        <v>65000</v>
      </c>
      <c r="E158" s="9">
        <v>67000</v>
      </c>
      <c r="F158" s="9">
        <v>31000</v>
      </c>
      <c r="G158" s="9">
        <v>346000</v>
      </c>
      <c r="H158" s="9">
        <v>232000</v>
      </c>
      <c r="I158" s="9">
        <v>114000</v>
      </c>
      <c r="J158" s="9">
        <v>25000</v>
      </c>
      <c r="K158" s="9">
        <v>13000</v>
      </c>
      <c r="L158" s="9">
        <v>12000</v>
      </c>
    </row>
    <row r="159" spans="1:12">
      <c r="A159" s="139" t="s">
        <v>212</v>
      </c>
      <c r="B159" s="105">
        <v>56000</v>
      </c>
      <c r="C159" s="9">
        <v>25000</v>
      </c>
      <c r="D159" s="9">
        <v>13000</v>
      </c>
      <c r="E159" s="13" t="s">
        <v>220</v>
      </c>
      <c r="F159" s="9">
        <v>7000</v>
      </c>
      <c r="G159" s="9">
        <v>24000</v>
      </c>
      <c r="H159" s="9">
        <v>22000</v>
      </c>
      <c r="I159" s="13" t="s">
        <v>191</v>
      </c>
      <c r="J159" s="9">
        <v>7000</v>
      </c>
      <c r="K159" s="13" t="s">
        <v>191</v>
      </c>
      <c r="L159" s="13" t="s">
        <v>220</v>
      </c>
    </row>
    <row r="160" spans="1:12">
      <c r="A160" s="139" t="s">
        <v>213</v>
      </c>
      <c r="B160" s="105">
        <v>171000</v>
      </c>
      <c r="C160" s="9">
        <v>26000</v>
      </c>
      <c r="D160" s="9">
        <v>9000</v>
      </c>
      <c r="E160" s="9">
        <v>13000</v>
      </c>
      <c r="F160" s="13" t="s">
        <v>191</v>
      </c>
      <c r="G160" s="9">
        <v>141000</v>
      </c>
      <c r="H160" s="9">
        <v>63000</v>
      </c>
      <c r="I160" s="9">
        <v>78000</v>
      </c>
      <c r="J160" s="9">
        <v>5000</v>
      </c>
      <c r="K160" s="13" t="s">
        <v>191</v>
      </c>
      <c r="L160" s="9">
        <v>4000</v>
      </c>
    </row>
    <row r="161" spans="1:13">
      <c r="A161" s="139" t="s">
        <v>214</v>
      </c>
      <c r="B161" s="105">
        <v>83000</v>
      </c>
      <c r="C161" s="9">
        <v>42000</v>
      </c>
      <c r="D161" s="9">
        <v>6000</v>
      </c>
      <c r="E161" s="9">
        <v>32000</v>
      </c>
      <c r="F161" s="9">
        <v>4000</v>
      </c>
      <c r="G161" s="9">
        <v>37000</v>
      </c>
      <c r="H161" s="9">
        <v>31000</v>
      </c>
      <c r="I161" s="9">
        <v>6000</v>
      </c>
      <c r="J161" s="13" t="s">
        <v>191</v>
      </c>
      <c r="K161" s="13" t="s">
        <v>220</v>
      </c>
      <c r="L161" s="13" t="s">
        <v>220</v>
      </c>
    </row>
    <row r="162" spans="1:13">
      <c r="A162" s="139" t="s">
        <v>215</v>
      </c>
      <c r="B162" s="105">
        <v>4000</v>
      </c>
      <c r="C162" s="13" t="s">
        <v>220</v>
      </c>
      <c r="D162" s="13" t="s">
        <v>220</v>
      </c>
      <c r="E162" s="13" t="s">
        <v>220</v>
      </c>
      <c r="F162" s="13" t="s">
        <v>220</v>
      </c>
      <c r="G162" s="9">
        <v>3000</v>
      </c>
      <c r="H162" s="9">
        <v>3000</v>
      </c>
      <c r="I162" s="13" t="s">
        <v>220</v>
      </c>
      <c r="J162" s="13" t="s">
        <v>220</v>
      </c>
      <c r="K162" s="13" t="s">
        <v>220</v>
      </c>
      <c r="L162" s="13" t="s">
        <v>220</v>
      </c>
    </row>
    <row r="163" spans="1:13">
      <c r="A163" s="139" t="s">
        <v>216</v>
      </c>
      <c r="B163" s="105">
        <v>160000</v>
      </c>
      <c r="C163" s="9">
        <v>52000</v>
      </c>
      <c r="D163" s="9">
        <v>21000</v>
      </c>
      <c r="E163" s="9">
        <v>15000</v>
      </c>
      <c r="F163" s="9">
        <v>16000</v>
      </c>
      <c r="G163" s="9">
        <v>105000</v>
      </c>
      <c r="H163" s="9">
        <v>84000</v>
      </c>
      <c r="I163" s="9">
        <v>21000</v>
      </c>
      <c r="J163" s="13" t="s">
        <v>191</v>
      </c>
      <c r="K163" s="13" t="s">
        <v>191</v>
      </c>
      <c r="L163" s="13" t="s">
        <v>220</v>
      </c>
    </row>
    <row r="164" spans="1:13">
      <c r="A164" s="139" t="s">
        <v>217</v>
      </c>
      <c r="B164" s="105">
        <v>60000</v>
      </c>
      <c r="C164" s="9">
        <v>18000</v>
      </c>
      <c r="D164" s="9">
        <v>16000</v>
      </c>
      <c r="E164" s="9">
        <v>2000</v>
      </c>
      <c r="F164" s="13" t="s">
        <v>220</v>
      </c>
      <c r="G164" s="9">
        <v>36000</v>
      </c>
      <c r="H164" s="9">
        <v>29000</v>
      </c>
      <c r="I164" s="9">
        <v>7000</v>
      </c>
      <c r="J164" s="9">
        <v>6000</v>
      </c>
      <c r="K164" s="9">
        <v>3000</v>
      </c>
      <c r="L164" s="13" t="s">
        <v>191</v>
      </c>
    </row>
    <row r="165" spans="1:13">
      <c r="A165" s="111" t="s">
        <v>223</v>
      </c>
      <c r="B165" s="109">
        <v>3246000</v>
      </c>
      <c r="C165" s="104">
        <v>2459000</v>
      </c>
      <c r="D165" s="104">
        <v>1650000</v>
      </c>
      <c r="E165" s="104">
        <v>457000</v>
      </c>
      <c r="F165" s="104">
        <v>352000</v>
      </c>
      <c r="G165" s="104">
        <v>347000</v>
      </c>
      <c r="H165" s="104">
        <v>281000</v>
      </c>
      <c r="I165" s="104">
        <v>66000</v>
      </c>
      <c r="J165" s="104">
        <v>440000</v>
      </c>
      <c r="K165" s="104">
        <v>195000</v>
      </c>
      <c r="L165" s="104">
        <v>245000</v>
      </c>
    </row>
    <row r="166" spans="1:13">
      <c r="A166" s="112" t="s">
        <v>178</v>
      </c>
      <c r="B166" s="105">
        <v>49000</v>
      </c>
      <c r="C166" s="9">
        <v>27000</v>
      </c>
      <c r="D166" s="9">
        <v>14000</v>
      </c>
      <c r="E166" s="9">
        <v>7000</v>
      </c>
      <c r="F166" s="9">
        <v>6000</v>
      </c>
      <c r="G166" s="9">
        <v>17000</v>
      </c>
      <c r="H166" s="9">
        <v>9000</v>
      </c>
      <c r="I166" s="13" t="s">
        <v>191</v>
      </c>
      <c r="J166" s="9">
        <v>4000</v>
      </c>
      <c r="K166" s="9">
        <v>2000</v>
      </c>
      <c r="L166" s="9">
        <v>3000</v>
      </c>
    </row>
    <row r="167" spans="1:13">
      <c r="A167" s="112" t="s">
        <v>206</v>
      </c>
      <c r="B167" s="105">
        <v>1616000</v>
      </c>
      <c r="C167" s="9">
        <v>1293000</v>
      </c>
      <c r="D167" s="9">
        <v>807000</v>
      </c>
      <c r="E167" s="9">
        <v>336000</v>
      </c>
      <c r="F167" s="9">
        <v>150000</v>
      </c>
      <c r="G167" s="9">
        <v>241000</v>
      </c>
      <c r="H167" s="9">
        <v>230000</v>
      </c>
      <c r="I167" s="9">
        <v>11000</v>
      </c>
      <c r="J167" s="9">
        <v>82000</v>
      </c>
      <c r="K167" s="9">
        <v>53000</v>
      </c>
      <c r="L167" s="9">
        <v>29000</v>
      </c>
    </row>
    <row r="168" spans="1:13">
      <c r="A168" s="112" t="s">
        <v>211</v>
      </c>
      <c r="B168" s="110">
        <v>1582000</v>
      </c>
      <c r="C168" s="21">
        <v>1139000</v>
      </c>
      <c r="D168" s="21">
        <v>829000</v>
      </c>
      <c r="E168" s="21">
        <v>114000</v>
      </c>
      <c r="F168" s="21">
        <v>197000</v>
      </c>
      <c r="G168" s="21">
        <v>89000</v>
      </c>
      <c r="H168" s="21">
        <v>42000</v>
      </c>
      <c r="I168" s="21">
        <v>47000</v>
      </c>
      <c r="J168" s="21">
        <v>354000</v>
      </c>
      <c r="K168" s="21">
        <v>140000</v>
      </c>
      <c r="L168" s="21">
        <v>213000</v>
      </c>
    </row>
    <row r="169" spans="1:13">
      <c r="A169" s="344" t="s">
        <v>224</v>
      </c>
      <c r="B169" s="344"/>
      <c r="C169" s="344"/>
      <c r="D169" s="344"/>
      <c r="E169" s="344"/>
      <c r="F169" s="344"/>
      <c r="G169" s="344"/>
      <c r="H169" s="344"/>
      <c r="I169" s="344"/>
      <c r="J169" s="344"/>
      <c r="K169" s="344"/>
      <c r="L169" s="344"/>
      <c r="M169" s="344"/>
    </row>
    <row r="170" spans="1:13">
      <c r="A170" s="321" t="s">
        <v>262</v>
      </c>
      <c r="B170" s="321"/>
      <c r="C170" s="321"/>
      <c r="D170" s="321"/>
      <c r="E170" s="321"/>
      <c r="F170" s="321"/>
      <c r="G170" s="321"/>
      <c r="H170" s="321"/>
      <c r="I170" s="321"/>
      <c r="J170" s="321"/>
      <c r="K170" s="321"/>
      <c r="L170" s="321"/>
      <c r="M170" s="321"/>
    </row>
  </sheetData>
  <mergeCells count="8">
    <mergeCell ref="A169:M169"/>
    <mergeCell ref="A170:M170"/>
    <mergeCell ref="A1:M1"/>
    <mergeCell ref="A3:A4"/>
    <mergeCell ref="B3:B4"/>
    <mergeCell ref="C3:F3"/>
    <mergeCell ref="G3:I3"/>
    <mergeCell ref="J3:L3"/>
  </mergeCells>
  <pageMargins left="0.7" right="0.7" top="0.75" bottom="0.75" header="0.3" footer="0.3"/>
  <drawing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9"/>
  <sheetViews>
    <sheetView workbookViewId="0">
      <selection activeCell="L39"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1" t="s">
        <v>251</v>
      </c>
      <c r="B1" s="321"/>
      <c r="C1" s="321"/>
      <c r="D1" s="321"/>
      <c r="E1" s="321"/>
      <c r="F1" s="321"/>
      <c r="G1" s="321"/>
      <c r="H1" s="321"/>
      <c r="I1" s="321"/>
      <c r="J1" s="321"/>
      <c r="K1" s="321"/>
      <c r="L1" s="321"/>
      <c r="M1" s="321"/>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30" t="s">
        <v>213</v>
      </c>
      <c r="B5" s="107">
        <v>5019000</v>
      </c>
      <c r="C5" s="7">
        <v>1150000</v>
      </c>
      <c r="D5" s="7">
        <v>714000</v>
      </c>
      <c r="E5" s="7">
        <v>205000</v>
      </c>
      <c r="F5" s="7">
        <v>231000</v>
      </c>
      <c r="G5" s="7">
        <v>3687000</v>
      </c>
      <c r="H5" s="7">
        <v>291000</v>
      </c>
      <c r="I5" s="7">
        <v>3396000</v>
      </c>
      <c r="J5" s="7">
        <v>182000</v>
      </c>
      <c r="K5" s="7">
        <v>25000</v>
      </c>
      <c r="L5" s="7">
        <v>157000</v>
      </c>
    </row>
    <row r="6" spans="1:13" ht="12.45" customHeight="1">
      <c r="A6" s="130" t="s">
        <v>214</v>
      </c>
      <c r="B6" s="105">
        <v>1466000</v>
      </c>
      <c r="C6" s="9">
        <v>986000</v>
      </c>
      <c r="D6" s="9">
        <v>429000</v>
      </c>
      <c r="E6" s="9">
        <v>472000</v>
      </c>
      <c r="F6" s="9">
        <v>85000</v>
      </c>
      <c r="G6" s="9">
        <v>279000</v>
      </c>
      <c r="H6" s="9">
        <v>101000</v>
      </c>
      <c r="I6" s="9">
        <v>178000</v>
      </c>
      <c r="J6" s="9">
        <v>200000</v>
      </c>
      <c r="K6" s="9">
        <v>45000</v>
      </c>
      <c r="L6" s="9">
        <v>155000</v>
      </c>
    </row>
    <row r="7" spans="1:13" ht="12.45" customHeight="1">
      <c r="A7" s="130" t="s">
        <v>215</v>
      </c>
      <c r="B7" s="105">
        <v>1293000</v>
      </c>
      <c r="C7" s="9">
        <v>1143000</v>
      </c>
      <c r="D7" s="9">
        <v>941000</v>
      </c>
      <c r="E7" s="9">
        <v>66000</v>
      </c>
      <c r="F7" s="9">
        <v>136000</v>
      </c>
      <c r="G7" s="9">
        <v>90000</v>
      </c>
      <c r="H7" s="9">
        <v>27000</v>
      </c>
      <c r="I7" s="9">
        <v>64000</v>
      </c>
      <c r="J7" s="9">
        <v>59000</v>
      </c>
      <c r="K7" s="9">
        <v>19000</v>
      </c>
      <c r="L7" s="9">
        <v>40000</v>
      </c>
    </row>
    <row r="8" spans="1:13" ht="12.45" customHeight="1">
      <c r="A8" s="130" t="s">
        <v>216</v>
      </c>
      <c r="B8" s="105">
        <v>4526000</v>
      </c>
      <c r="C8" s="9">
        <v>3174000</v>
      </c>
      <c r="D8" s="9">
        <v>2220000</v>
      </c>
      <c r="E8" s="9">
        <v>404000</v>
      </c>
      <c r="F8" s="9">
        <v>549000</v>
      </c>
      <c r="G8" s="9">
        <v>1045000</v>
      </c>
      <c r="H8" s="9">
        <v>358000</v>
      </c>
      <c r="I8" s="9">
        <v>687000</v>
      </c>
      <c r="J8" s="9">
        <v>307000</v>
      </c>
      <c r="K8" s="9">
        <v>112000</v>
      </c>
      <c r="L8" s="9">
        <v>195000</v>
      </c>
    </row>
    <row r="9" spans="1:13" ht="12.45" customHeight="1">
      <c r="A9" s="130" t="s">
        <v>217</v>
      </c>
      <c r="B9" s="105">
        <v>5752000</v>
      </c>
      <c r="C9" s="9">
        <v>3862000</v>
      </c>
      <c r="D9" s="9">
        <v>2881000</v>
      </c>
      <c r="E9" s="9">
        <v>481000</v>
      </c>
      <c r="F9" s="9">
        <v>500000</v>
      </c>
      <c r="G9" s="9">
        <v>672000</v>
      </c>
      <c r="H9" s="9">
        <v>277000</v>
      </c>
      <c r="I9" s="9">
        <v>395000</v>
      </c>
      <c r="J9" s="9">
        <v>1217000</v>
      </c>
      <c r="K9" s="9">
        <v>360000</v>
      </c>
      <c r="L9" s="9">
        <v>857000</v>
      </c>
    </row>
    <row r="10" spans="1:13" ht="12.45" customHeight="1">
      <c r="A10" s="125" t="s">
        <v>218</v>
      </c>
      <c r="B10" s="124">
        <v>31688000</v>
      </c>
      <c r="C10" s="119">
        <v>24232000</v>
      </c>
      <c r="D10" s="119">
        <v>18921000</v>
      </c>
      <c r="E10" s="119">
        <v>3045000</v>
      </c>
      <c r="F10" s="119">
        <v>2266000</v>
      </c>
      <c r="G10" s="119">
        <v>4205000</v>
      </c>
      <c r="H10" s="119">
        <v>1161000</v>
      </c>
      <c r="I10" s="119">
        <v>3044000</v>
      </c>
      <c r="J10" s="119">
        <v>3252000</v>
      </c>
      <c r="K10" s="119">
        <v>1105000</v>
      </c>
      <c r="L10" s="119">
        <v>2147000</v>
      </c>
    </row>
    <row r="11" spans="1:13" ht="12.45" customHeight="1">
      <c r="A11" s="120" t="s">
        <v>178</v>
      </c>
      <c r="B11" s="105">
        <v>11377000</v>
      </c>
      <c r="C11" s="9">
        <v>8905000</v>
      </c>
      <c r="D11" s="9">
        <v>7461000</v>
      </c>
      <c r="E11" s="9">
        <v>782000</v>
      </c>
      <c r="F11" s="9">
        <v>662000</v>
      </c>
      <c r="G11" s="9">
        <v>1154000</v>
      </c>
      <c r="H11" s="9">
        <v>532000</v>
      </c>
      <c r="I11" s="9">
        <v>622000</v>
      </c>
      <c r="J11" s="9">
        <v>1318000</v>
      </c>
      <c r="K11" s="9">
        <v>499000</v>
      </c>
      <c r="L11" s="9">
        <v>820000</v>
      </c>
    </row>
    <row r="12" spans="1:13" ht="12.45" customHeight="1">
      <c r="A12" s="121" t="s">
        <v>179</v>
      </c>
      <c r="B12" s="105">
        <v>1773000</v>
      </c>
      <c r="C12" s="9">
        <v>1301000</v>
      </c>
      <c r="D12" s="9">
        <v>989000</v>
      </c>
      <c r="E12" s="9">
        <v>166000</v>
      </c>
      <c r="F12" s="9">
        <v>145000</v>
      </c>
      <c r="G12" s="9">
        <v>227000</v>
      </c>
      <c r="H12" s="9">
        <v>138000</v>
      </c>
      <c r="I12" s="9">
        <v>88000</v>
      </c>
      <c r="J12" s="9">
        <v>245000</v>
      </c>
      <c r="K12" s="9">
        <v>82000</v>
      </c>
      <c r="L12" s="9">
        <v>163000</v>
      </c>
    </row>
    <row r="13" spans="1:13" ht="12.45" customHeight="1">
      <c r="A13" s="122" t="s">
        <v>180</v>
      </c>
      <c r="B13" s="105">
        <v>239000</v>
      </c>
      <c r="C13" s="9">
        <v>189000</v>
      </c>
      <c r="D13" s="9">
        <v>142000</v>
      </c>
      <c r="E13" s="9">
        <v>9000</v>
      </c>
      <c r="F13" s="9">
        <v>38000</v>
      </c>
      <c r="G13" s="9">
        <v>24000</v>
      </c>
      <c r="H13" s="9">
        <v>10000</v>
      </c>
      <c r="I13" s="9">
        <v>14000</v>
      </c>
      <c r="J13" s="9">
        <v>27000</v>
      </c>
      <c r="K13" s="9">
        <v>16000</v>
      </c>
      <c r="L13" s="9">
        <v>11000</v>
      </c>
    </row>
    <row r="14" spans="1:13" ht="12.45" customHeight="1">
      <c r="A14" s="122" t="s">
        <v>181</v>
      </c>
      <c r="B14" s="105">
        <v>1301000</v>
      </c>
      <c r="C14" s="9">
        <v>955000</v>
      </c>
      <c r="D14" s="9">
        <v>742000</v>
      </c>
      <c r="E14" s="9">
        <v>141000</v>
      </c>
      <c r="F14" s="9">
        <v>72000</v>
      </c>
      <c r="G14" s="9">
        <v>198000</v>
      </c>
      <c r="H14" s="9">
        <v>124000</v>
      </c>
      <c r="I14" s="9">
        <v>74000</v>
      </c>
      <c r="J14" s="9">
        <v>148000</v>
      </c>
      <c r="K14" s="9">
        <v>36000</v>
      </c>
      <c r="L14" s="9">
        <v>112000</v>
      </c>
    </row>
    <row r="15" spans="1:13" ht="12.45" customHeight="1">
      <c r="A15" s="122" t="s">
        <v>182</v>
      </c>
      <c r="B15" s="105">
        <v>232000</v>
      </c>
      <c r="C15" s="9">
        <v>157000</v>
      </c>
      <c r="D15" s="9">
        <v>106000</v>
      </c>
      <c r="E15" s="9">
        <v>16000</v>
      </c>
      <c r="F15" s="9">
        <v>35000</v>
      </c>
      <c r="G15" s="9">
        <v>5000</v>
      </c>
      <c r="H15" s="9">
        <v>4000</v>
      </c>
      <c r="I15" s="9">
        <v>1000</v>
      </c>
      <c r="J15" s="9">
        <v>70000</v>
      </c>
      <c r="K15" s="9">
        <v>30000</v>
      </c>
      <c r="L15" s="9">
        <v>40000</v>
      </c>
    </row>
    <row r="16" spans="1:13" ht="12.45" customHeight="1">
      <c r="A16" s="121" t="s">
        <v>183</v>
      </c>
      <c r="B16" s="105">
        <v>2133000</v>
      </c>
      <c r="C16" s="9">
        <v>1775000</v>
      </c>
      <c r="D16" s="9">
        <v>1607000</v>
      </c>
      <c r="E16" s="9">
        <v>99000</v>
      </c>
      <c r="F16" s="9">
        <v>68000</v>
      </c>
      <c r="G16" s="9">
        <v>171000</v>
      </c>
      <c r="H16" s="9">
        <v>56000</v>
      </c>
      <c r="I16" s="9">
        <v>115000</v>
      </c>
      <c r="J16" s="9">
        <v>188000</v>
      </c>
      <c r="K16" s="9">
        <v>97000</v>
      </c>
      <c r="L16" s="9">
        <v>91000</v>
      </c>
    </row>
    <row r="17" spans="1:12" ht="12.45" customHeight="1">
      <c r="A17" s="122" t="s">
        <v>184</v>
      </c>
      <c r="B17" s="105">
        <v>1694000</v>
      </c>
      <c r="C17" s="9">
        <v>1468000</v>
      </c>
      <c r="D17" s="9">
        <v>1338000</v>
      </c>
      <c r="E17" s="9">
        <v>78000</v>
      </c>
      <c r="F17" s="9">
        <v>51000</v>
      </c>
      <c r="G17" s="9">
        <v>81000</v>
      </c>
      <c r="H17" s="9">
        <v>43000</v>
      </c>
      <c r="I17" s="9">
        <v>38000</v>
      </c>
      <c r="J17" s="9">
        <v>145000</v>
      </c>
      <c r="K17" s="9">
        <v>63000</v>
      </c>
      <c r="L17" s="9">
        <v>81000</v>
      </c>
    </row>
    <row r="18" spans="1:12" ht="12.45" customHeight="1">
      <c r="A18" s="122" t="s">
        <v>185</v>
      </c>
      <c r="B18" s="105">
        <v>440000</v>
      </c>
      <c r="C18" s="9">
        <v>307000</v>
      </c>
      <c r="D18" s="9">
        <v>269000</v>
      </c>
      <c r="E18" s="9">
        <v>21000</v>
      </c>
      <c r="F18" s="9">
        <v>17000</v>
      </c>
      <c r="G18" s="9">
        <v>90000</v>
      </c>
      <c r="H18" s="9">
        <v>13000</v>
      </c>
      <c r="I18" s="9">
        <v>77000</v>
      </c>
      <c r="J18" s="9">
        <v>43000</v>
      </c>
      <c r="K18" s="13" t="s">
        <v>191</v>
      </c>
      <c r="L18" s="9">
        <v>9000</v>
      </c>
    </row>
    <row r="19" spans="1:12" ht="12.45" customHeight="1">
      <c r="A19" s="121" t="s">
        <v>186</v>
      </c>
      <c r="B19" s="105">
        <v>517000</v>
      </c>
      <c r="C19" s="9">
        <v>349000</v>
      </c>
      <c r="D19" s="9">
        <v>301000</v>
      </c>
      <c r="E19" s="9">
        <v>22000</v>
      </c>
      <c r="F19" s="9">
        <v>26000</v>
      </c>
      <c r="G19" s="9">
        <v>97000</v>
      </c>
      <c r="H19" s="9">
        <v>56000</v>
      </c>
      <c r="I19" s="9">
        <v>41000</v>
      </c>
      <c r="J19" s="9">
        <v>70000</v>
      </c>
      <c r="K19" s="9">
        <v>26000</v>
      </c>
      <c r="L19" s="9">
        <v>44000</v>
      </c>
    </row>
    <row r="20" spans="1:12" ht="12.45" customHeight="1">
      <c r="A20" s="122" t="s">
        <v>187</v>
      </c>
      <c r="B20" s="105">
        <v>221000</v>
      </c>
      <c r="C20" s="9">
        <v>163000</v>
      </c>
      <c r="D20" s="9">
        <v>148000</v>
      </c>
      <c r="E20" s="9">
        <v>7000</v>
      </c>
      <c r="F20" s="9">
        <v>9000</v>
      </c>
      <c r="G20" s="9">
        <v>39000</v>
      </c>
      <c r="H20" s="9">
        <v>30000</v>
      </c>
      <c r="I20" s="9">
        <v>9000</v>
      </c>
      <c r="J20" s="9">
        <v>20000</v>
      </c>
      <c r="K20" s="9">
        <v>6000</v>
      </c>
      <c r="L20" s="9">
        <v>13000</v>
      </c>
    </row>
    <row r="21" spans="1:12" ht="12.45" customHeight="1">
      <c r="A21" s="122" t="s">
        <v>188</v>
      </c>
      <c r="B21" s="105">
        <v>172000</v>
      </c>
      <c r="C21" s="9">
        <v>106000</v>
      </c>
      <c r="D21" s="9">
        <v>88000</v>
      </c>
      <c r="E21" s="9">
        <v>8000</v>
      </c>
      <c r="F21" s="9">
        <v>10000</v>
      </c>
      <c r="G21" s="13" t="s">
        <v>191</v>
      </c>
      <c r="H21" s="9">
        <v>5000</v>
      </c>
      <c r="I21" s="13" t="s">
        <v>191</v>
      </c>
      <c r="J21" s="9">
        <v>43000</v>
      </c>
      <c r="K21" s="9">
        <v>16000</v>
      </c>
      <c r="L21" s="9">
        <v>27000</v>
      </c>
    </row>
    <row r="22" spans="1:12" ht="12.45" customHeight="1">
      <c r="A22" s="122" t="s">
        <v>189</v>
      </c>
      <c r="B22" s="105">
        <v>106000</v>
      </c>
      <c r="C22" s="9">
        <v>66000</v>
      </c>
      <c r="D22" s="9">
        <v>60000</v>
      </c>
      <c r="E22" s="9">
        <v>4000</v>
      </c>
      <c r="F22" s="9">
        <v>3000</v>
      </c>
      <c r="G22" s="9">
        <v>34000</v>
      </c>
      <c r="H22" s="9">
        <v>21000</v>
      </c>
      <c r="I22" s="9">
        <v>13000</v>
      </c>
      <c r="J22" s="9">
        <v>6000</v>
      </c>
      <c r="K22" s="9">
        <v>3000</v>
      </c>
      <c r="L22" s="9">
        <v>2000</v>
      </c>
    </row>
    <row r="23" spans="1:12" ht="12.45" customHeight="1">
      <c r="A23" s="122" t="s">
        <v>190</v>
      </c>
      <c r="B23" s="105">
        <v>17000</v>
      </c>
      <c r="C23" s="9">
        <v>14000</v>
      </c>
      <c r="D23" s="9">
        <v>6000</v>
      </c>
      <c r="E23" s="13" t="s">
        <v>191</v>
      </c>
      <c r="F23" s="13" t="s">
        <v>191</v>
      </c>
      <c r="G23" s="13" t="s">
        <v>191</v>
      </c>
      <c r="H23" s="13" t="s">
        <v>220</v>
      </c>
      <c r="I23" s="13" t="s">
        <v>220</v>
      </c>
      <c r="J23" s="13" t="s">
        <v>191</v>
      </c>
      <c r="K23" s="9">
        <v>1000</v>
      </c>
      <c r="L23" s="13" t="s">
        <v>220</v>
      </c>
    </row>
    <row r="24" spans="1:12" ht="12.45" customHeight="1">
      <c r="A24" s="121" t="s">
        <v>192</v>
      </c>
      <c r="B24" s="105">
        <v>4229000</v>
      </c>
      <c r="C24" s="9">
        <v>3102000</v>
      </c>
      <c r="D24" s="9">
        <v>2362000</v>
      </c>
      <c r="E24" s="9">
        <v>432000</v>
      </c>
      <c r="F24" s="9">
        <v>309000</v>
      </c>
      <c r="G24" s="9">
        <v>559000</v>
      </c>
      <c r="H24" s="9">
        <v>208000</v>
      </c>
      <c r="I24" s="9">
        <v>352000</v>
      </c>
      <c r="J24" s="9">
        <v>568000</v>
      </c>
      <c r="K24" s="9">
        <v>179000</v>
      </c>
      <c r="L24" s="9">
        <v>388000</v>
      </c>
    </row>
    <row r="25" spans="1:12" ht="12.45" customHeight="1">
      <c r="A25" s="122" t="s">
        <v>193</v>
      </c>
      <c r="B25" s="105">
        <v>714000</v>
      </c>
      <c r="C25" s="9">
        <v>607000</v>
      </c>
      <c r="D25" s="9">
        <v>546000</v>
      </c>
      <c r="E25" s="9">
        <v>13000</v>
      </c>
      <c r="F25" s="9">
        <v>48000</v>
      </c>
      <c r="G25" s="9">
        <v>31000</v>
      </c>
      <c r="H25" s="9">
        <v>14000</v>
      </c>
      <c r="I25" s="9">
        <v>17000</v>
      </c>
      <c r="J25" s="9">
        <v>75000</v>
      </c>
      <c r="K25" s="9">
        <v>38000</v>
      </c>
      <c r="L25" s="9">
        <v>38000</v>
      </c>
    </row>
    <row r="26" spans="1:12" ht="12.45" customHeight="1">
      <c r="A26" s="122" t="s">
        <v>194</v>
      </c>
      <c r="B26" s="105">
        <v>777000</v>
      </c>
      <c r="C26" s="9">
        <v>619000</v>
      </c>
      <c r="D26" s="9">
        <v>490000</v>
      </c>
      <c r="E26" s="9">
        <v>65000</v>
      </c>
      <c r="F26" s="9">
        <v>65000</v>
      </c>
      <c r="G26" s="9">
        <v>62000</v>
      </c>
      <c r="H26" s="9">
        <v>26000</v>
      </c>
      <c r="I26" s="9">
        <v>36000</v>
      </c>
      <c r="J26" s="9">
        <v>95000</v>
      </c>
      <c r="K26" s="9">
        <v>48000</v>
      </c>
      <c r="L26" s="9">
        <v>47000</v>
      </c>
    </row>
    <row r="27" spans="1:12" ht="12.45" customHeight="1">
      <c r="A27" s="122" t="s">
        <v>195</v>
      </c>
      <c r="B27" s="105">
        <v>1521000</v>
      </c>
      <c r="C27" s="9">
        <v>1035000</v>
      </c>
      <c r="D27" s="9">
        <v>716000</v>
      </c>
      <c r="E27" s="9">
        <v>208000</v>
      </c>
      <c r="F27" s="9">
        <v>111000</v>
      </c>
      <c r="G27" s="9">
        <v>288000</v>
      </c>
      <c r="H27" s="9">
        <v>99000</v>
      </c>
      <c r="I27" s="9">
        <v>190000</v>
      </c>
      <c r="J27" s="9">
        <v>197000</v>
      </c>
      <c r="K27" s="9">
        <v>49000</v>
      </c>
      <c r="L27" s="9">
        <v>148000</v>
      </c>
    </row>
    <row r="28" spans="1:12" ht="12.45" customHeight="1">
      <c r="A28" s="122" t="s">
        <v>196</v>
      </c>
      <c r="B28" s="105">
        <v>800000</v>
      </c>
      <c r="C28" s="9">
        <v>556000</v>
      </c>
      <c r="D28" s="9">
        <v>409000</v>
      </c>
      <c r="E28" s="9">
        <v>89000</v>
      </c>
      <c r="F28" s="9">
        <v>58000</v>
      </c>
      <c r="G28" s="9">
        <v>94000</v>
      </c>
      <c r="H28" s="9">
        <v>33000</v>
      </c>
      <c r="I28" s="9">
        <v>61000</v>
      </c>
      <c r="J28" s="9">
        <v>150000</v>
      </c>
      <c r="K28" s="9">
        <v>33000</v>
      </c>
      <c r="L28" s="9">
        <v>117000</v>
      </c>
    </row>
    <row r="29" spans="1:12" ht="12.45" customHeight="1">
      <c r="A29" s="122" t="s">
        <v>197</v>
      </c>
      <c r="B29" s="105">
        <v>417000</v>
      </c>
      <c r="C29" s="9">
        <v>284000</v>
      </c>
      <c r="D29" s="9">
        <v>200000</v>
      </c>
      <c r="E29" s="9">
        <v>56000</v>
      </c>
      <c r="F29" s="9">
        <v>27000</v>
      </c>
      <c r="G29" s="9">
        <v>84000</v>
      </c>
      <c r="H29" s="9">
        <v>36000</v>
      </c>
      <c r="I29" s="9">
        <v>48000</v>
      </c>
      <c r="J29" s="9">
        <v>50000</v>
      </c>
      <c r="K29" s="9">
        <v>12000</v>
      </c>
      <c r="L29" s="9">
        <v>38000</v>
      </c>
    </row>
    <row r="30" spans="1:12" ht="12.45" customHeight="1">
      <c r="A30" s="121" t="s">
        <v>198</v>
      </c>
      <c r="B30" s="105">
        <v>2725000</v>
      </c>
      <c r="C30" s="9">
        <v>2378000</v>
      </c>
      <c r="D30" s="9">
        <v>2201000</v>
      </c>
      <c r="E30" s="9">
        <v>63000</v>
      </c>
      <c r="F30" s="9">
        <v>114000</v>
      </c>
      <c r="G30" s="9">
        <v>99000</v>
      </c>
      <c r="H30" s="9">
        <v>73000</v>
      </c>
      <c r="I30" s="9">
        <v>26000</v>
      </c>
      <c r="J30" s="9">
        <v>248000</v>
      </c>
      <c r="K30" s="9">
        <v>115000</v>
      </c>
      <c r="L30" s="9">
        <v>133000</v>
      </c>
    </row>
    <row r="31" spans="1:12" ht="12.45" customHeight="1">
      <c r="A31" s="122" t="s">
        <v>199</v>
      </c>
      <c r="B31" s="105">
        <v>86000</v>
      </c>
      <c r="C31" s="9">
        <v>71000</v>
      </c>
      <c r="D31" s="9">
        <v>66000</v>
      </c>
      <c r="E31" s="9">
        <v>1000</v>
      </c>
      <c r="F31" s="13" t="s">
        <v>191</v>
      </c>
      <c r="G31" s="9">
        <v>2000</v>
      </c>
      <c r="H31" s="9">
        <v>2000</v>
      </c>
      <c r="I31" s="13" t="s">
        <v>191</v>
      </c>
      <c r="J31" s="9">
        <v>13000</v>
      </c>
      <c r="K31" s="9">
        <v>12000</v>
      </c>
      <c r="L31" s="13" t="s">
        <v>220</v>
      </c>
    </row>
    <row r="32" spans="1:12" ht="12.45" customHeight="1">
      <c r="A32" s="122" t="s">
        <v>200</v>
      </c>
      <c r="B32" s="105">
        <v>202000</v>
      </c>
      <c r="C32" s="9">
        <v>183000</v>
      </c>
      <c r="D32" s="9">
        <v>173000</v>
      </c>
      <c r="E32" s="9">
        <v>4000</v>
      </c>
      <c r="F32" s="9">
        <v>5000</v>
      </c>
      <c r="G32" s="9">
        <v>6000</v>
      </c>
      <c r="H32" s="9">
        <v>4000</v>
      </c>
      <c r="I32" s="13" t="s">
        <v>191</v>
      </c>
      <c r="J32" s="9">
        <v>13000</v>
      </c>
      <c r="K32" s="9">
        <v>6000</v>
      </c>
      <c r="L32" s="13" t="s">
        <v>191</v>
      </c>
    </row>
    <row r="33" spans="1:12" ht="12.45" customHeight="1">
      <c r="A33" s="122" t="s">
        <v>201</v>
      </c>
      <c r="B33" s="105">
        <v>395000</v>
      </c>
      <c r="C33" s="9">
        <v>298000</v>
      </c>
      <c r="D33" s="9">
        <v>274000</v>
      </c>
      <c r="E33" s="13" t="s">
        <v>191</v>
      </c>
      <c r="F33" s="9">
        <v>18000</v>
      </c>
      <c r="G33" s="9">
        <v>11000</v>
      </c>
      <c r="H33" s="9">
        <v>6000</v>
      </c>
      <c r="I33" s="13" t="s">
        <v>191</v>
      </c>
      <c r="J33" s="9">
        <v>86000</v>
      </c>
      <c r="K33" s="9">
        <v>15000</v>
      </c>
      <c r="L33" s="9">
        <v>71000</v>
      </c>
    </row>
    <row r="34" spans="1:12" ht="12.45" customHeight="1">
      <c r="A34" s="122" t="s">
        <v>202</v>
      </c>
      <c r="B34" s="105">
        <v>924000</v>
      </c>
      <c r="C34" s="9">
        <v>834000</v>
      </c>
      <c r="D34" s="9">
        <v>771000</v>
      </c>
      <c r="E34" s="9">
        <v>31000</v>
      </c>
      <c r="F34" s="9">
        <v>32000</v>
      </c>
      <c r="G34" s="9">
        <v>36000</v>
      </c>
      <c r="H34" s="9">
        <v>29000</v>
      </c>
      <c r="I34" s="9">
        <v>7000</v>
      </c>
      <c r="J34" s="9">
        <v>54000</v>
      </c>
      <c r="K34" s="9">
        <v>32000</v>
      </c>
      <c r="L34" s="9">
        <v>22000</v>
      </c>
    </row>
    <row r="35" spans="1:12" ht="12.45" customHeight="1">
      <c r="A35" s="122" t="s">
        <v>203</v>
      </c>
      <c r="B35" s="105">
        <v>154000</v>
      </c>
      <c r="C35" s="9">
        <v>146000</v>
      </c>
      <c r="D35" s="9">
        <v>132000</v>
      </c>
      <c r="E35" s="9">
        <v>4000</v>
      </c>
      <c r="F35" s="9">
        <v>9000</v>
      </c>
      <c r="G35" s="9">
        <v>2000</v>
      </c>
      <c r="H35" s="13" t="s">
        <v>220</v>
      </c>
      <c r="I35" s="9">
        <v>2000</v>
      </c>
      <c r="J35" s="9">
        <v>6000</v>
      </c>
      <c r="K35" s="9">
        <v>5000</v>
      </c>
      <c r="L35" s="9">
        <v>1000</v>
      </c>
    </row>
    <row r="36" spans="1:12" ht="12.45" customHeight="1">
      <c r="A36" s="122" t="s">
        <v>204</v>
      </c>
      <c r="B36" s="105">
        <v>660000</v>
      </c>
      <c r="C36" s="9">
        <v>583000</v>
      </c>
      <c r="D36" s="9">
        <v>541000</v>
      </c>
      <c r="E36" s="9">
        <v>12000</v>
      </c>
      <c r="F36" s="9">
        <v>30000</v>
      </c>
      <c r="G36" s="9">
        <v>29000</v>
      </c>
      <c r="H36" s="9">
        <v>22000</v>
      </c>
      <c r="I36" s="9">
        <v>7000</v>
      </c>
      <c r="J36" s="9">
        <v>49000</v>
      </c>
      <c r="K36" s="9">
        <v>34000</v>
      </c>
      <c r="L36" s="9">
        <v>15000</v>
      </c>
    </row>
    <row r="37" spans="1:12" ht="12.45" customHeight="1">
      <c r="A37" s="122" t="s">
        <v>205</v>
      </c>
      <c r="B37" s="105">
        <v>304000</v>
      </c>
      <c r="C37" s="9">
        <v>264000</v>
      </c>
      <c r="D37" s="9">
        <v>244000</v>
      </c>
      <c r="E37" s="9">
        <v>5000</v>
      </c>
      <c r="F37" s="9">
        <v>15000</v>
      </c>
      <c r="G37" s="9">
        <v>13000</v>
      </c>
      <c r="H37" s="9">
        <v>10000</v>
      </c>
      <c r="I37" s="13" t="s">
        <v>191</v>
      </c>
      <c r="J37" s="9">
        <v>28000</v>
      </c>
      <c r="K37" s="9">
        <v>12000</v>
      </c>
      <c r="L37" s="9">
        <v>16000</v>
      </c>
    </row>
    <row r="38" spans="1:12" ht="12.45" customHeight="1">
      <c r="A38" s="120" t="s">
        <v>206</v>
      </c>
      <c r="B38" s="105">
        <v>3821000</v>
      </c>
      <c r="C38" s="9">
        <v>3082000</v>
      </c>
      <c r="D38" s="9">
        <v>1912000</v>
      </c>
      <c r="E38" s="9">
        <v>997000</v>
      </c>
      <c r="F38" s="9">
        <v>173000</v>
      </c>
      <c r="G38" s="9">
        <v>444000</v>
      </c>
      <c r="H38" s="9">
        <v>184000</v>
      </c>
      <c r="I38" s="9">
        <v>260000</v>
      </c>
      <c r="J38" s="9">
        <v>294000</v>
      </c>
      <c r="K38" s="9">
        <v>112000</v>
      </c>
      <c r="L38" s="9">
        <v>182000</v>
      </c>
    </row>
    <row r="39" spans="1:12" ht="12.45" customHeight="1">
      <c r="A39" s="121" t="s">
        <v>207</v>
      </c>
      <c r="B39" s="105">
        <v>2912000</v>
      </c>
      <c r="C39" s="9">
        <v>2403000</v>
      </c>
      <c r="D39" s="9">
        <v>1344000</v>
      </c>
      <c r="E39" s="9">
        <v>960000</v>
      </c>
      <c r="F39" s="9">
        <v>99000</v>
      </c>
      <c r="G39" s="9">
        <v>296000</v>
      </c>
      <c r="H39" s="9">
        <v>171000</v>
      </c>
      <c r="I39" s="9">
        <v>126000</v>
      </c>
      <c r="J39" s="9">
        <v>212000</v>
      </c>
      <c r="K39" s="9">
        <v>78000</v>
      </c>
      <c r="L39" s="9">
        <v>134000</v>
      </c>
    </row>
  </sheetData>
  <mergeCells count="6">
    <mergeCell ref="A1:M1"/>
    <mergeCell ref="A3:A4"/>
    <mergeCell ref="B3:B4"/>
    <mergeCell ref="C3:F3"/>
    <mergeCell ref="G3:I3"/>
    <mergeCell ref="J3: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53593-96AA-45BD-916B-3601FB24AC74}">
  <dimension ref="A1:K44"/>
  <sheetViews>
    <sheetView zoomScaleNormal="100" workbookViewId="0">
      <selection activeCell="B41" sqref="B41"/>
    </sheetView>
  </sheetViews>
  <sheetFormatPr defaultRowHeight="13.2"/>
  <cols>
    <col min="1" max="1" width="67.77734375" bestFit="1" customWidth="1"/>
    <col min="2" max="2" width="12.77734375" bestFit="1" customWidth="1"/>
    <col min="3" max="3" width="68.33203125" bestFit="1" customWidth="1"/>
    <col min="4" max="4" width="12.6640625" bestFit="1" customWidth="1"/>
    <col min="7" max="7" width="36.44140625" bestFit="1" customWidth="1"/>
    <col min="8" max="8" width="12.77734375" bestFit="1" customWidth="1"/>
    <col min="9" max="9" width="41.6640625" bestFit="1" customWidth="1"/>
    <col min="10" max="10" width="12.109375" bestFit="1"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0.7546542650124648</v>
      </c>
      <c r="C3" s="285" t="s">
        <v>67</v>
      </c>
      <c r="D3">
        <v>4.6068840843817897E-2</v>
      </c>
      <c r="G3" s="285" t="s">
        <v>68</v>
      </c>
      <c r="H3" s="263">
        <v>77000</v>
      </c>
      <c r="I3" s="285" t="s">
        <v>69</v>
      </c>
      <c r="J3" s="296">
        <f>31212.5911070986</f>
        <v>31212.5911070986</v>
      </c>
    </row>
    <row r="4" spans="1:11">
      <c r="C4" s="285" t="s">
        <v>70</v>
      </c>
      <c r="D4">
        <v>0.19927689414371699</v>
      </c>
      <c r="G4" t="s">
        <v>71</v>
      </c>
      <c r="H4" s="263">
        <v>51324</v>
      </c>
      <c r="I4" s="285" t="s">
        <v>72</v>
      </c>
      <c r="J4" s="296">
        <v>65364</v>
      </c>
    </row>
    <row r="5" spans="1:11">
      <c r="A5" s="285" t="s">
        <v>73</v>
      </c>
      <c r="B5">
        <v>0.54141874661927203</v>
      </c>
      <c r="C5" s="285" t="s">
        <v>74</v>
      </c>
      <c r="D5">
        <v>0.19751178425160301</v>
      </c>
      <c r="H5" s="263"/>
      <c r="I5" s="285" t="s">
        <v>75</v>
      </c>
      <c r="J5" s="296"/>
    </row>
    <row r="6" spans="1:11">
      <c r="A6" t="s">
        <v>76</v>
      </c>
      <c r="C6" t="s">
        <v>77</v>
      </c>
      <c r="G6" s="290" t="s">
        <v>78</v>
      </c>
      <c r="H6" s="263">
        <f>SUM(H3:H4)</f>
        <v>128324</v>
      </c>
      <c r="I6" s="290" t="s">
        <v>78</v>
      </c>
      <c r="J6" s="296">
        <f>SUM(J3:J5)</f>
        <v>96576.591107098604</v>
      </c>
    </row>
    <row r="7" spans="1:11">
      <c r="A7" t="s">
        <v>79</v>
      </c>
      <c r="B7">
        <v>0.51180357004868204</v>
      </c>
      <c r="C7" t="s">
        <v>79</v>
      </c>
      <c r="D7">
        <v>0</v>
      </c>
    </row>
    <row r="8" spans="1:11">
      <c r="A8" t="s">
        <v>80</v>
      </c>
      <c r="B8">
        <v>0</v>
      </c>
      <c r="C8" t="s">
        <v>80</v>
      </c>
      <c r="D8">
        <f>48.8196429951318%</f>
        <v>0.48819642995131801</v>
      </c>
    </row>
    <row r="9" spans="1:11">
      <c r="A9" t="s">
        <v>81</v>
      </c>
      <c r="B9">
        <v>0.10252298894984932</v>
      </c>
      <c r="C9" t="s">
        <v>81</v>
      </c>
      <c r="D9">
        <v>0</v>
      </c>
    </row>
    <row r="10" spans="1:11">
      <c r="A10" t="s">
        <v>82</v>
      </c>
      <c r="B10">
        <v>2.4341241016922958E-3</v>
      </c>
      <c r="C10" t="s">
        <v>82</v>
      </c>
      <c r="D10">
        <v>0</v>
      </c>
      <c r="G10" s="290" t="s">
        <v>53</v>
      </c>
      <c r="H10" s="263">
        <f>H6-J6</f>
        <v>31747.408892901396</v>
      </c>
    </row>
    <row r="11" spans="1:11">
      <c r="A11" t="s">
        <v>83</v>
      </c>
      <c r="B11">
        <v>0.10576848775210571</v>
      </c>
      <c r="C11" t="s">
        <v>83</v>
      </c>
      <c r="D11">
        <v>0</v>
      </c>
      <c r="G11" s="290" t="s">
        <v>55</v>
      </c>
      <c r="H11">
        <f>ABS(H6/J6)</f>
        <v>1.3287277851596058</v>
      </c>
    </row>
    <row r="12" spans="1:11">
      <c r="A12" t="s">
        <v>84</v>
      </c>
      <c r="B12">
        <v>7.9379491538520974E-2</v>
      </c>
      <c r="C12" t="s">
        <v>84</v>
      </c>
      <c r="D12">
        <v>0</v>
      </c>
      <c r="G12" s="290" t="s">
        <v>56</v>
      </c>
      <c r="H12" s="296">
        <f>PV(0.04,4,,-H6)</f>
        <v>109691.89300969851</v>
      </c>
      <c r="I12" s="285" t="s">
        <v>85</v>
      </c>
    </row>
    <row r="13" spans="1:11">
      <c r="A13" t="s">
        <v>86</v>
      </c>
      <c r="B13">
        <v>2.6273085542075575E-3</v>
      </c>
      <c r="C13" t="s">
        <v>86</v>
      </c>
      <c r="D13">
        <v>0</v>
      </c>
      <c r="G13" s="290" t="s">
        <v>57</v>
      </c>
      <c r="H13" s="296">
        <f>PV(0.04,4,,-J6)</f>
        <v>82554.074833712017</v>
      </c>
    </row>
    <row r="14" spans="1:11">
      <c r="A14" t="s">
        <v>87</v>
      </c>
      <c r="B14">
        <v>0.68335136388223472</v>
      </c>
      <c r="C14" t="s">
        <v>87</v>
      </c>
      <c r="D14">
        <v>0</v>
      </c>
      <c r="G14" s="290" t="s">
        <v>58</v>
      </c>
      <c r="H14" s="296">
        <f>H12-H13</f>
        <v>27137.818175986496</v>
      </c>
    </row>
    <row r="15" spans="1:11">
      <c r="A15" t="s">
        <v>88</v>
      </c>
      <c r="B15">
        <v>2.3916235221389383E-2</v>
      </c>
      <c r="C15" t="s">
        <v>88</v>
      </c>
      <c r="D15">
        <v>0</v>
      </c>
      <c r="G15" s="290" t="s">
        <v>59</v>
      </c>
      <c r="H15">
        <f>ABS(H10/J6)</f>
        <v>0.32872778515960571</v>
      </c>
    </row>
    <row r="16" spans="1:11">
      <c r="A16" t="s">
        <v>89</v>
      </c>
      <c r="B16">
        <v>0</v>
      </c>
      <c r="C16" t="s">
        <v>89</v>
      </c>
      <c r="D16">
        <f>87.7559693995827%</f>
        <v>0.87755969399582701</v>
      </c>
    </row>
    <row r="17" spans="1:4">
      <c r="A17" t="s">
        <v>90</v>
      </c>
      <c r="B17">
        <v>0.12244030600417279</v>
      </c>
      <c r="C17" t="s">
        <v>90</v>
      </c>
      <c r="D17">
        <v>0</v>
      </c>
    </row>
    <row r="18" spans="1:4">
      <c r="A18" t="s">
        <v>91</v>
      </c>
      <c r="B18">
        <v>0.17987404373696006</v>
      </c>
      <c r="C18" t="s">
        <v>91</v>
      </c>
      <c r="D18">
        <v>0</v>
      </c>
    </row>
    <row r="19" spans="1:4">
      <c r="A19" t="s">
        <v>92</v>
      </c>
      <c r="B19">
        <v>0.82012595626303997</v>
      </c>
      <c r="C19" t="s">
        <v>92</v>
      </c>
      <c r="D19">
        <v>0</v>
      </c>
    </row>
    <row r="20" spans="1:4">
      <c r="A20" t="s">
        <v>93</v>
      </c>
      <c r="C20" t="s">
        <v>94</v>
      </c>
    </row>
    <row r="21" spans="1:4">
      <c r="A21" t="s">
        <v>79</v>
      </c>
      <c r="B21">
        <v>12.895185897316447</v>
      </c>
      <c r="C21" t="s">
        <v>79</v>
      </c>
      <c r="D21">
        <v>5.4540001586097597</v>
      </c>
    </row>
    <row r="22" spans="1:4">
      <c r="A22" t="s">
        <v>80</v>
      </c>
      <c r="B22">
        <v>18.787808490653891</v>
      </c>
      <c r="C22" t="s">
        <v>80</v>
      </c>
      <c r="D22">
        <v>7.8841411774237304</v>
      </c>
    </row>
    <row r="23" spans="1:4">
      <c r="A23" t="s">
        <v>95</v>
      </c>
      <c r="B23">
        <v>0.61386291631249512</v>
      </c>
      <c r="C23" t="s">
        <v>96</v>
      </c>
      <c r="D23">
        <v>0.38613708368750499</v>
      </c>
    </row>
    <row r="24" spans="1:4">
      <c r="A24" t="s">
        <v>97</v>
      </c>
      <c r="B24">
        <v>1.2200000000000001E-2</v>
      </c>
      <c r="C24" t="s">
        <v>98</v>
      </c>
      <c r="D24">
        <v>0</v>
      </c>
    </row>
    <row r="25" spans="1:4">
      <c r="A25" t="s">
        <v>99</v>
      </c>
      <c r="C25" t="s">
        <v>100</v>
      </c>
    </row>
    <row r="26" spans="1:4">
      <c r="A26" t="s">
        <v>101</v>
      </c>
      <c r="B26">
        <v>9.2999999999999992E-3</v>
      </c>
      <c r="C26" t="s">
        <v>101</v>
      </c>
      <c r="D26">
        <v>0</v>
      </c>
    </row>
    <row r="27" spans="1:4">
      <c r="A27" t="s">
        <v>79</v>
      </c>
      <c r="B27">
        <v>1.12E-2</v>
      </c>
      <c r="C27" t="s">
        <v>79</v>
      </c>
      <c r="D27">
        <v>0</v>
      </c>
    </row>
    <row r="28" spans="1:4">
      <c r="A28" t="s">
        <v>80</v>
      </c>
      <c r="B28">
        <v>7.4000000000000003E-3</v>
      </c>
      <c r="C28" t="s">
        <v>80</v>
      </c>
      <c r="D28">
        <v>0</v>
      </c>
    </row>
    <row r="29" spans="1:4">
      <c r="A29" t="s">
        <v>102</v>
      </c>
      <c r="B29">
        <v>9.2999999999999992E-3</v>
      </c>
      <c r="C29" t="s">
        <v>102</v>
      </c>
      <c r="D29">
        <v>0</v>
      </c>
    </row>
    <row r="30" spans="1:4">
      <c r="A30" t="s">
        <v>91</v>
      </c>
      <c r="B30">
        <v>1.52E-2</v>
      </c>
      <c r="C30" t="s">
        <v>91</v>
      </c>
      <c r="D30">
        <v>0</v>
      </c>
    </row>
    <row r="31" spans="1:4">
      <c r="A31" t="s">
        <v>92</v>
      </c>
      <c r="B31">
        <v>8.2000000000000007E-3</v>
      </c>
      <c r="C31" t="s">
        <v>92</v>
      </c>
      <c r="D31">
        <v>0</v>
      </c>
    </row>
    <row r="32" spans="1:4">
      <c r="A32" s="290" t="s">
        <v>78</v>
      </c>
      <c r="B32">
        <f>SUM(B3:B31)</f>
        <v>36.299974191967429</v>
      </c>
      <c r="C32" s="290" t="s">
        <v>78</v>
      </c>
      <c r="D32">
        <f>SUM(D3:D31)</f>
        <v>15.532892062907278</v>
      </c>
    </row>
    <row r="34" spans="1:4">
      <c r="A34" s="320" t="s">
        <v>103</v>
      </c>
      <c r="B34" s="320"/>
      <c r="C34" s="320"/>
      <c r="D34" s="320"/>
    </row>
    <row r="36" spans="1:4">
      <c r="A36" s="290" t="s">
        <v>53</v>
      </c>
      <c r="B36">
        <f>B32-D32</f>
        <v>20.767082129060149</v>
      </c>
    </row>
    <row r="37" spans="1:4">
      <c r="A37" s="290" t="s">
        <v>54</v>
      </c>
      <c r="B37">
        <f>ABS(B32/D32)</f>
        <v>2.336974598481385</v>
      </c>
    </row>
    <row r="38" spans="1:4">
      <c r="A38" s="290" t="s">
        <v>56</v>
      </c>
      <c r="B38" s="296">
        <f>PV(0.04,4,,-B32)</f>
        <v>31.029370073564639</v>
      </c>
    </row>
    <row r="39" spans="1:4">
      <c r="A39" s="290" t="s">
        <v>57</v>
      </c>
      <c r="B39" s="296">
        <f>PV(0.04,4,,-D32)</f>
        <v>13.277581234185503</v>
      </c>
      <c r="C39" s="296"/>
    </row>
    <row r="40" spans="1:4">
      <c r="A40" s="290" t="s">
        <v>58</v>
      </c>
      <c r="B40" s="296">
        <f>B38-B39</f>
        <v>17.751788839379138</v>
      </c>
      <c r="C40" s="296"/>
    </row>
    <row r="41" spans="1:4">
      <c r="A41" s="290" t="s">
        <v>59</v>
      </c>
      <c r="B41">
        <f>ABS(B36/D32)</f>
        <v>1.336974598481385</v>
      </c>
    </row>
    <row r="43" spans="1:4">
      <c r="B43" s="296"/>
    </row>
    <row r="44" spans="1:4">
      <c r="B44" s="296"/>
    </row>
  </sheetData>
  <mergeCells count="3">
    <mergeCell ref="A1:D1"/>
    <mergeCell ref="G1:K1"/>
    <mergeCell ref="A34:D3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9"/>
  <sheetViews>
    <sheetView topLeftCell="G11" workbookViewId="0">
      <selection activeCell="A5"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1" t="s">
        <v>251</v>
      </c>
      <c r="B1" s="321"/>
      <c r="C1" s="321"/>
      <c r="D1" s="321"/>
      <c r="E1" s="321"/>
      <c r="F1" s="321"/>
      <c r="G1" s="321"/>
      <c r="H1" s="321"/>
      <c r="I1" s="321"/>
      <c r="J1" s="321"/>
      <c r="K1" s="321"/>
      <c r="L1" s="321"/>
      <c r="M1" s="321"/>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21" t="s">
        <v>208</v>
      </c>
      <c r="B5" s="107">
        <v>171000</v>
      </c>
      <c r="C5" s="7">
        <v>62000</v>
      </c>
      <c r="D5" s="7">
        <v>48000</v>
      </c>
      <c r="E5" s="19" t="s">
        <v>191</v>
      </c>
      <c r="F5" s="19" t="s">
        <v>191</v>
      </c>
      <c r="G5" s="7">
        <v>105000</v>
      </c>
      <c r="H5" s="19" t="s">
        <v>191</v>
      </c>
      <c r="I5" s="7">
        <v>104000</v>
      </c>
      <c r="J5" s="19" t="s">
        <v>191</v>
      </c>
      <c r="K5" s="19" t="s">
        <v>220</v>
      </c>
      <c r="L5" s="19" t="s">
        <v>220</v>
      </c>
    </row>
    <row r="6" spans="1:13" ht="12.45" customHeight="1">
      <c r="A6" s="121" t="s">
        <v>209</v>
      </c>
      <c r="B6" s="105">
        <v>393000</v>
      </c>
      <c r="C6" s="9">
        <v>327000</v>
      </c>
      <c r="D6" s="9">
        <v>291000</v>
      </c>
      <c r="E6" s="9">
        <v>11000</v>
      </c>
      <c r="F6" s="9">
        <v>26000</v>
      </c>
      <c r="G6" s="9">
        <v>23000</v>
      </c>
      <c r="H6" s="13" t="s">
        <v>191</v>
      </c>
      <c r="I6" s="9">
        <v>21000</v>
      </c>
      <c r="J6" s="9">
        <v>43000</v>
      </c>
      <c r="K6" s="9">
        <v>25000</v>
      </c>
      <c r="L6" s="9">
        <v>17000</v>
      </c>
    </row>
    <row r="7" spans="1:13" ht="12.45" customHeight="1">
      <c r="A7" s="121" t="s">
        <v>210</v>
      </c>
      <c r="B7" s="105">
        <v>344000</v>
      </c>
      <c r="C7" s="9">
        <v>291000</v>
      </c>
      <c r="D7" s="9">
        <v>230000</v>
      </c>
      <c r="E7" s="9">
        <v>18000</v>
      </c>
      <c r="F7" s="9">
        <v>43000</v>
      </c>
      <c r="G7" s="9">
        <v>20000</v>
      </c>
      <c r="H7" s="9">
        <v>10000</v>
      </c>
      <c r="I7" s="9">
        <v>10000</v>
      </c>
      <c r="J7" s="9">
        <v>34000</v>
      </c>
      <c r="K7" s="13" t="s">
        <v>191</v>
      </c>
      <c r="L7" s="9">
        <v>28000</v>
      </c>
    </row>
    <row r="8" spans="1:13" ht="12.45" customHeight="1">
      <c r="A8" s="120" t="s">
        <v>211</v>
      </c>
      <c r="B8" s="105">
        <v>16491000</v>
      </c>
      <c r="C8" s="9">
        <v>12245000</v>
      </c>
      <c r="D8" s="9">
        <v>9548000</v>
      </c>
      <c r="E8" s="9">
        <v>1266000</v>
      </c>
      <c r="F8" s="9">
        <v>1431000</v>
      </c>
      <c r="G8" s="9">
        <v>2607000</v>
      </c>
      <c r="H8" s="9">
        <v>445000</v>
      </c>
      <c r="I8" s="9">
        <v>2162000</v>
      </c>
      <c r="J8" s="9">
        <v>1639000</v>
      </c>
      <c r="K8" s="9">
        <v>494000</v>
      </c>
      <c r="L8" s="9">
        <v>1145000</v>
      </c>
    </row>
    <row r="9" spans="1:13" ht="12.45" customHeight="1">
      <c r="A9" s="121" t="s">
        <v>212</v>
      </c>
      <c r="B9" s="105">
        <v>6113000</v>
      </c>
      <c r="C9" s="9">
        <v>5231000</v>
      </c>
      <c r="D9" s="9">
        <v>4378000</v>
      </c>
      <c r="E9" s="9">
        <v>404000</v>
      </c>
      <c r="F9" s="9">
        <v>448000</v>
      </c>
      <c r="G9" s="9">
        <v>282000</v>
      </c>
      <c r="H9" s="9">
        <v>108000</v>
      </c>
      <c r="I9" s="9">
        <v>174000</v>
      </c>
      <c r="J9" s="9">
        <v>600000</v>
      </c>
      <c r="K9" s="9">
        <v>230000</v>
      </c>
      <c r="L9" s="9">
        <v>370000</v>
      </c>
    </row>
    <row r="10" spans="1:13" ht="12.45" customHeight="1">
      <c r="A10" s="121" t="s">
        <v>213</v>
      </c>
      <c r="B10" s="105">
        <v>1960000</v>
      </c>
      <c r="C10" s="9">
        <v>711000</v>
      </c>
      <c r="D10" s="9">
        <v>468000</v>
      </c>
      <c r="E10" s="9">
        <v>114000</v>
      </c>
      <c r="F10" s="9">
        <v>129000</v>
      </c>
      <c r="G10" s="9">
        <v>1164000</v>
      </c>
      <c r="H10" s="9">
        <v>35000</v>
      </c>
      <c r="I10" s="9">
        <v>1129000</v>
      </c>
      <c r="J10" s="9">
        <v>86000</v>
      </c>
      <c r="K10" s="9">
        <v>21000</v>
      </c>
      <c r="L10" s="9">
        <v>65000</v>
      </c>
    </row>
    <row r="11" spans="1:13" ht="12.45" customHeight="1">
      <c r="A11" s="121" t="s">
        <v>214</v>
      </c>
      <c r="B11" s="105">
        <v>542000</v>
      </c>
      <c r="C11" s="9">
        <v>367000</v>
      </c>
      <c r="D11" s="9">
        <v>207000</v>
      </c>
      <c r="E11" s="9">
        <v>119000</v>
      </c>
      <c r="F11" s="9">
        <v>41000</v>
      </c>
      <c r="G11" s="9">
        <v>94000</v>
      </c>
      <c r="H11" s="9">
        <v>19000</v>
      </c>
      <c r="I11" s="9">
        <v>75000</v>
      </c>
      <c r="J11" s="9">
        <v>82000</v>
      </c>
      <c r="K11" s="13" t="s">
        <v>191</v>
      </c>
      <c r="L11" s="9">
        <v>75000</v>
      </c>
    </row>
    <row r="12" spans="1:13" ht="12.45" customHeight="1">
      <c r="A12" s="121" t="s">
        <v>215</v>
      </c>
      <c r="B12" s="105">
        <v>1078000</v>
      </c>
      <c r="C12" s="9">
        <v>956000</v>
      </c>
      <c r="D12" s="9">
        <v>783000</v>
      </c>
      <c r="E12" s="9">
        <v>58000</v>
      </c>
      <c r="F12" s="9">
        <v>115000</v>
      </c>
      <c r="G12" s="9">
        <v>74000</v>
      </c>
      <c r="H12" s="9">
        <v>17000</v>
      </c>
      <c r="I12" s="9">
        <v>57000</v>
      </c>
      <c r="J12" s="9">
        <v>48000</v>
      </c>
      <c r="K12" s="13" t="s">
        <v>191</v>
      </c>
      <c r="L12" s="9">
        <v>36000</v>
      </c>
    </row>
    <row r="13" spans="1:13" ht="12.45" customHeight="1">
      <c r="A13" s="121" t="s">
        <v>216</v>
      </c>
      <c r="B13" s="105">
        <v>3626000</v>
      </c>
      <c r="C13" s="9">
        <v>2704000</v>
      </c>
      <c r="D13" s="9">
        <v>1974000</v>
      </c>
      <c r="E13" s="9">
        <v>282000</v>
      </c>
      <c r="F13" s="9">
        <v>447000</v>
      </c>
      <c r="G13" s="9">
        <v>653000</v>
      </c>
      <c r="H13" s="9">
        <v>150000</v>
      </c>
      <c r="I13" s="9">
        <v>503000</v>
      </c>
      <c r="J13" s="9">
        <v>269000</v>
      </c>
      <c r="K13" s="9">
        <v>92000</v>
      </c>
      <c r="L13" s="9">
        <v>177000</v>
      </c>
    </row>
    <row r="14" spans="1:13" ht="12.45" customHeight="1">
      <c r="A14" s="121" t="s">
        <v>217</v>
      </c>
      <c r="B14" s="105">
        <v>3172000</v>
      </c>
      <c r="C14" s="9">
        <v>2276000</v>
      </c>
      <c r="D14" s="9">
        <v>1737000</v>
      </c>
      <c r="E14" s="9">
        <v>289000</v>
      </c>
      <c r="F14" s="9">
        <v>250000</v>
      </c>
      <c r="G14" s="9">
        <v>340000</v>
      </c>
      <c r="H14" s="9">
        <v>116000</v>
      </c>
      <c r="I14" s="9">
        <v>224000</v>
      </c>
      <c r="J14" s="9">
        <v>555000</v>
      </c>
      <c r="K14" s="9">
        <v>133000</v>
      </c>
      <c r="L14" s="9">
        <v>422000</v>
      </c>
    </row>
    <row r="15" spans="1:13" ht="12.45" customHeight="1">
      <c r="A15" s="114" t="s">
        <v>219</v>
      </c>
      <c r="B15" s="144">
        <v>14688000</v>
      </c>
      <c r="C15" s="143">
        <v>8660000</v>
      </c>
      <c r="D15" s="143">
        <v>6400000</v>
      </c>
      <c r="E15" s="143">
        <v>1542000</v>
      </c>
      <c r="F15" s="143">
        <v>718000</v>
      </c>
      <c r="G15" s="143">
        <v>4447000</v>
      </c>
      <c r="H15" s="143">
        <v>1092000</v>
      </c>
      <c r="I15" s="143">
        <v>3354000</v>
      </c>
      <c r="J15" s="143">
        <v>1582000</v>
      </c>
      <c r="K15" s="143">
        <v>699000</v>
      </c>
      <c r="L15" s="143">
        <v>883000</v>
      </c>
    </row>
    <row r="16" spans="1:13" ht="12.45" customHeight="1">
      <c r="A16" s="115" t="s">
        <v>178</v>
      </c>
      <c r="B16" s="105">
        <v>3680000</v>
      </c>
      <c r="C16" s="9">
        <v>2582000</v>
      </c>
      <c r="D16" s="9">
        <v>2103000</v>
      </c>
      <c r="E16" s="9">
        <v>321000</v>
      </c>
      <c r="F16" s="9">
        <v>159000</v>
      </c>
      <c r="G16" s="9">
        <v>637000</v>
      </c>
      <c r="H16" s="9">
        <v>336000</v>
      </c>
      <c r="I16" s="9">
        <v>301000</v>
      </c>
      <c r="J16" s="9">
        <v>461000</v>
      </c>
      <c r="K16" s="9">
        <v>242000</v>
      </c>
      <c r="L16" s="9">
        <v>219000</v>
      </c>
    </row>
    <row r="17" spans="1:12" ht="12.45" customHeight="1">
      <c r="A17" s="116" t="s">
        <v>179</v>
      </c>
      <c r="B17" s="105">
        <v>417000</v>
      </c>
      <c r="C17" s="9">
        <v>228000</v>
      </c>
      <c r="D17" s="9">
        <v>177000</v>
      </c>
      <c r="E17" s="9">
        <v>39000</v>
      </c>
      <c r="F17" s="9">
        <v>11000</v>
      </c>
      <c r="G17" s="9">
        <v>118000</v>
      </c>
      <c r="H17" s="9">
        <v>68000</v>
      </c>
      <c r="I17" s="9">
        <v>51000</v>
      </c>
      <c r="J17" s="9">
        <v>71000</v>
      </c>
      <c r="K17" s="9">
        <v>32000</v>
      </c>
      <c r="L17" s="9">
        <v>39000</v>
      </c>
    </row>
    <row r="18" spans="1:12" ht="12.45" customHeight="1">
      <c r="A18" s="117" t="s">
        <v>180</v>
      </c>
      <c r="B18" s="105">
        <v>46000</v>
      </c>
      <c r="C18" s="9">
        <v>28000</v>
      </c>
      <c r="D18" s="9">
        <v>26000</v>
      </c>
      <c r="E18" s="13" t="s">
        <v>222</v>
      </c>
      <c r="F18" s="13" t="s">
        <v>191</v>
      </c>
      <c r="G18" s="9">
        <v>12000</v>
      </c>
      <c r="H18" s="9">
        <v>9000</v>
      </c>
      <c r="I18" s="9">
        <v>3000</v>
      </c>
      <c r="J18" s="9">
        <v>6000</v>
      </c>
      <c r="K18" s="9">
        <v>4000</v>
      </c>
      <c r="L18" s="13" t="s">
        <v>191</v>
      </c>
    </row>
    <row r="19" spans="1:12" ht="12.45" customHeight="1">
      <c r="A19" s="117" t="s">
        <v>181</v>
      </c>
      <c r="B19" s="105">
        <v>286000</v>
      </c>
      <c r="C19" s="9">
        <v>152000</v>
      </c>
      <c r="D19" s="9">
        <v>115000</v>
      </c>
      <c r="E19" s="9">
        <v>28000</v>
      </c>
      <c r="F19" s="9">
        <v>9000</v>
      </c>
      <c r="G19" s="9">
        <v>96000</v>
      </c>
      <c r="H19" s="9">
        <v>52000</v>
      </c>
      <c r="I19" s="9">
        <v>44000</v>
      </c>
      <c r="J19" s="9">
        <v>38000</v>
      </c>
      <c r="K19" s="9">
        <v>18000</v>
      </c>
      <c r="L19" s="9">
        <v>19000</v>
      </c>
    </row>
    <row r="20" spans="1:12" ht="12.45" customHeight="1">
      <c r="A20" s="117" t="s">
        <v>182</v>
      </c>
      <c r="B20" s="105">
        <v>86000</v>
      </c>
      <c r="C20" s="9">
        <v>48000</v>
      </c>
      <c r="D20" s="9">
        <v>36000</v>
      </c>
      <c r="E20" s="9">
        <v>11000</v>
      </c>
      <c r="F20" s="13" t="s">
        <v>191</v>
      </c>
      <c r="G20" s="9">
        <v>10000</v>
      </c>
      <c r="H20" s="9">
        <v>6000</v>
      </c>
      <c r="I20" s="13" t="s">
        <v>191</v>
      </c>
      <c r="J20" s="9">
        <v>28000</v>
      </c>
      <c r="K20" s="9">
        <v>9000</v>
      </c>
      <c r="L20" s="9">
        <v>18000</v>
      </c>
    </row>
    <row r="21" spans="1:12" ht="12.45" customHeight="1">
      <c r="A21" s="116" t="s">
        <v>183</v>
      </c>
      <c r="B21" s="105">
        <v>888000</v>
      </c>
      <c r="C21" s="9">
        <v>712000</v>
      </c>
      <c r="D21" s="9">
        <v>640000</v>
      </c>
      <c r="E21" s="9">
        <v>45000</v>
      </c>
      <c r="F21" s="9">
        <v>27000</v>
      </c>
      <c r="G21" s="9">
        <v>103000</v>
      </c>
      <c r="H21" s="9">
        <v>60000</v>
      </c>
      <c r="I21" s="9">
        <v>43000</v>
      </c>
      <c r="J21" s="9">
        <v>72000</v>
      </c>
      <c r="K21" s="9">
        <v>38000</v>
      </c>
      <c r="L21" s="9">
        <v>35000</v>
      </c>
    </row>
    <row r="22" spans="1:12" ht="12.45" customHeight="1">
      <c r="A22" s="117" t="s">
        <v>184</v>
      </c>
      <c r="B22" s="105">
        <v>732000</v>
      </c>
      <c r="C22" s="9">
        <v>618000</v>
      </c>
      <c r="D22" s="9">
        <v>564000</v>
      </c>
      <c r="E22" s="9">
        <v>37000</v>
      </c>
      <c r="F22" s="9">
        <v>17000</v>
      </c>
      <c r="G22" s="9">
        <v>56000</v>
      </c>
      <c r="H22" s="9">
        <v>40000</v>
      </c>
      <c r="I22" s="9">
        <v>16000</v>
      </c>
      <c r="J22" s="9">
        <v>58000</v>
      </c>
      <c r="K22" s="9">
        <v>28000</v>
      </c>
      <c r="L22" s="9">
        <v>30000</v>
      </c>
    </row>
    <row r="23" spans="1:12" ht="12.45" customHeight="1">
      <c r="A23" s="117" t="s">
        <v>185</v>
      </c>
      <c r="B23" s="105">
        <v>156000</v>
      </c>
      <c r="C23" s="9">
        <v>94000</v>
      </c>
      <c r="D23" s="9">
        <v>77000</v>
      </c>
      <c r="E23" s="9">
        <v>8000</v>
      </c>
      <c r="F23" s="9">
        <v>10000</v>
      </c>
      <c r="G23" s="9">
        <v>47000</v>
      </c>
      <c r="H23" s="9">
        <v>21000</v>
      </c>
      <c r="I23" s="9">
        <v>26000</v>
      </c>
      <c r="J23" s="9">
        <v>14000</v>
      </c>
      <c r="K23" s="9">
        <v>9000</v>
      </c>
      <c r="L23" s="9">
        <v>5000</v>
      </c>
    </row>
    <row r="24" spans="1:12" ht="12.45" customHeight="1">
      <c r="A24" s="116" t="s">
        <v>186</v>
      </c>
      <c r="B24" s="105">
        <v>174000</v>
      </c>
      <c r="C24" s="9">
        <v>107000</v>
      </c>
      <c r="D24" s="9">
        <v>97000</v>
      </c>
      <c r="E24" s="9">
        <v>6000</v>
      </c>
      <c r="F24" s="9">
        <v>5000</v>
      </c>
      <c r="G24" s="9">
        <v>45000</v>
      </c>
      <c r="H24" s="9">
        <v>29000</v>
      </c>
      <c r="I24" s="9">
        <v>16000</v>
      </c>
      <c r="J24" s="9">
        <v>22000</v>
      </c>
      <c r="K24" s="9">
        <v>15000</v>
      </c>
      <c r="L24" s="9">
        <v>7000</v>
      </c>
    </row>
    <row r="25" spans="1:12" ht="12.45" customHeight="1">
      <c r="A25" s="117" t="s">
        <v>187</v>
      </c>
      <c r="B25" s="105">
        <v>57000</v>
      </c>
      <c r="C25" s="9">
        <v>38000</v>
      </c>
      <c r="D25" s="9">
        <v>34000</v>
      </c>
      <c r="E25" s="9">
        <v>2000</v>
      </c>
      <c r="F25" s="13" t="s">
        <v>191</v>
      </c>
      <c r="G25" s="9">
        <v>15000</v>
      </c>
      <c r="H25" s="9">
        <v>7000</v>
      </c>
      <c r="I25" s="9">
        <v>8000</v>
      </c>
      <c r="J25" s="9">
        <v>4000</v>
      </c>
      <c r="K25" s="9">
        <v>2000</v>
      </c>
      <c r="L25" s="13" t="s">
        <v>191</v>
      </c>
    </row>
    <row r="26" spans="1:12" ht="12.45" customHeight="1">
      <c r="A26" s="117" t="s">
        <v>188</v>
      </c>
      <c r="B26" s="105">
        <v>59000</v>
      </c>
      <c r="C26" s="9">
        <v>38000</v>
      </c>
      <c r="D26" s="9">
        <v>34000</v>
      </c>
      <c r="E26" s="13" t="s">
        <v>191</v>
      </c>
      <c r="F26" s="9">
        <v>1000</v>
      </c>
      <c r="G26" s="9">
        <v>13000</v>
      </c>
      <c r="H26" s="9">
        <v>8000</v>
      </c>
      <c r="I26" s="13" t="s">
        <v>191</v>
      </c>
      <c r="J26" s="9">
        <v>8000</v>
      </c>
      <c r="K26" s="9">
        <v>3000</v>
      </c>
      <c r="L26" s="9">
        <v>5000</v>
      </c>
    </row>
    <row r="27" spans="1:12" ht="12.45" customHeight="1">
      <c r="A27" s="117" t="s">
        <v>189</v>
      </c>
      <c r="B27" s="105">
        <v>52000</v>
      </c>
      <c r="C27" s="9">
        <v>30000</v>
      </c>
      <c r="D27" s="9">
        <v>28000</v>
      </c>
      <c r="E27" s="13" t="s">
        <v>191</v>
      </c>
      <c r="F27" s="13" t="s">
        <v>220</v>
      </c>
      <c r="G27" s="9">
        <v>16000</v>
      </c>
      <c r="H27" s="9">
        <v>13000</v>
      </c>
      <c r="I27" s="9">
        <v>2000</v>
      </c>
      <c r="J27" s="9">
        <v>6000</v>
      </c>
      <c r="K27" s="9">
        <v>6000</v>
      </c>
      <c r="L27" s="13" t="s">
        <v>220</v>
      </c>
    </row>
    <row r="28" spans="1:12" ht="12.45" customHeight="1">
      <c r="A28" s="117" t="s">
        <v>190</v>
      </c>
      <c r="B28" s="105">
        <v>6000</v>
      </c>
      <c r="C28" s="9">
        <v>1000</v>
      </c>
      <c r="D28" s="9">
        <v>1000</v>
      </c>
      <c r="E28" s="13" t="s">
        <v>220</v>
      </c>
      <c r="F28" s="13" t="s">
        <v>220</v>
      </c>
      <c r="G28" s="9">
        <v>1000</v>
      </c>
      <c r="H28" s="9">
        <v>1000</v>
      </c>
      <c r="I28" s="13" t="s">
        <v>191</v>
      </c>
      <c r="J28" s="13" t="s">
        <v>191</v>
      </c>
      <c r="K28" s="13" t="s">
        <v>191</v>
      </c>
      <c r="L28" s="13" t="s">
        <v>220</v>
      </c>
    </row>
    <row r="29" spans="1:12" ht="12.45" customHeight="1">
      <c r="A29" s="116" t="s">
        <v>192</v>
      </c>
      <c r="B29" s="105">
        <v>1171000</v>
      </c>
      <c r="C29" s="9">
        <v>696000</v>
      </c>
      <c r="D29" s="9">
        <v>401000</v>
      </c>
      <c r="E29" s="9">
        <v>205000</v>
      </c>
      <c r="F29" s="9">
        <v>91000</v>
      </c>
      <c r="G29" s="9">
        <v>287000</v>
      </c>
      <c r="H29" s="9">
        <v>111000</v>
      </c>
      <c r="I29" s="9">
        <v>176000</v>
      </c>
      <c r="J29" s="9">
        <v>188000</v>
      </c>
      <c r="K29" s="9">
        <v>83000</v>
      </c>
      <c r="L29" s="9">
        <v>105000</v>
      </c>
    </row>
    <row r="30" spans="1:12" ht="12.45" customHeight="1">
      <c r="A30" s="117" t="s">
        <v>193</v>
      </c>
      <c r="B30" s="105">
        <v>114000</v>
      </c>
      <c r="C30" s="9">
        <v>91000</v>
      </c>
      <c r="D30" s="9">
        <v>70000</v>
      </c>
      <c r="E30" s="9">
        <v>13000</v>
      </c>
      <c r="F30" s="9">
        <v>9000</v>
      </c>
      <c r="G30" s="9">
        <v>16000</v>
      </c>
      <c r="H30" s="9">
        <v>15000</v>
      </c>
      <c r="I30" s="9">
        <v>1000</v>
      </c>
      <c r="J30" s="9">
        <v>6000</v>
      </c>
      <c r="K30" s="9">
        <v>4000</v>
      </c>
      <c r="L30" s="9">
        <v>2000</v>
      </c>
    </row>
    <row r="31" spans="1:12" ht="12.45" customHeight="1">
      <c r="A31" s="117" t="s">
        <v>194</v>
      </c>
      <c r="B31" s="105">
        <v>231000</v>
      </c>
      <c r="C31" s="9">
        <v>122000</v>
      </c>
      <c r="D31" s="9">
        <v>83000</v>
      </c>
      <c r="E31" s="9">
        <v>33000</v>
      </c>
      <c r="F31" s="9">
        <v>6000</v>
      </c>
      <c r="G31" s="9">
        <v>30000</v>
      </c>
      <c r="H31" s="9">
        <v>22000</v>
      </c>
      <c r="I31" s="9">
        <v>9000</v>
      </c>
      <c r="J31" s="9">
        <v>78000</v>
      </c>
      <c r="K31" s="9">
        <v>56000</v>
      </c>
      <c r="L31" s="9">
        <v>22000</v>
      </c>
    </row>
    <row r="32" spans="1:12" ht="12.45" customHeight="1">
      <c r="A32" s="117" t="s">
        <v>195</v>
      </c>
      <c r="B32" s="105">
        <v>602000</v>
      </c>
      <c r="C32" s="9">
        <v>363000</v>
      </c>
      <c r="D32" s="9">
        <v>180000</v>
      </c>
      <c r="E32" s="9">
        <v>122000</v>
      </c>
      <c r="F32" s="9">
        <v>61000</v>
      </c>
      <c r="G32" s="9">
        <v>181000</v>
      </c>
      <c r="H32" s="9">
        <v>45000</v>
      </c>
      <c r="I32" s="9">
        <v>136000</v>
      </c>
      <c r="J32" s="9">
        <v>58000</v>
      </c>
      <c r="K32" s="9">
        <v>10000</v>
      </c>
      <c r="L32" s="9">
        <v>48000</v>
      </c>
    </row>
    <row r="33" spans="1:12" ht="12.45" customHeight="1">
      <c r="A33" s="117" t="s">
        <v>196</v>
      </c>
      <c r="B33" s="105">
        <v>82000</v>
      </c>
      <c r="C33" s="9">
        <v>34000</v>
      </c>
      <c r="D33" s="9">
        <v>26000</v>
      </c>
      <c r="E33" s="9">
        <v>4000</v>
      </c>
      <c r="F33" s="13" t="s">
        <v>191</v>
      </c>
      <c r="G33" s="9">
        <v>25000</v>
      </c>
      <c r="H33" s="9">
        <v>17000</v>
      </c>
      <c r="I33" s="9">
        <v>8000</v>
      </c>
      <c r="J33" s="9">
        <v>24000</v>
      </c>
      <c r="K33" s="9">
        <v>4000</v>
      </c>
      <c r="L33" s="9">
        <v>20000</v>
      </c>
    </row>
    <row r="34" spans="1:12" ht="12.45" customHeight="1">
      <c r="A34" s="117" t="s">
        <v>197</v>
      </c>
      <c r="B34" s="105">
        <v>142000</v>
      </c>
      <c r="C34" s="9">
        <v>86000</v>
      </c>
      <c r="D34" s="9">
        <v>42000</v>
      </c>
      <c r="E34" s="9">
        <v>33000</v>
      </c>
      <c r="F34" s="9">
        <v>11000</v>
      </c>
      <c r="G34" s="9">
        <v>34000</v>
      </c>
      <c r="H34" s="9">
        <v>12000</v>
      </c>
      <c r="I34" s="9">
        <v>22000</v>
      </c>
      <c r="J34" s="9">
        <v>22000</v>
      </c>
      <c r="K34" s="9">
        <v>10000</v>
      </c>
      <c r="L34" s="9">
        <v>12000</v>
      </c>
    </row>
    <row r="35" spans="1:12" ht="12.45" customHeight="1">
      <c r="A35" s="116" t="s">
        <v>198</v>
      </c>
      <c r="B35" s="105">
        <v>1030000</v>
      </c>
      <c r="C35" s="9">
        <v>839000</v>
      </c>
      <c r="D35" s="9">
        <v>787000</v>
      </c>
      <c r="E35" s="9">
        <v>26000</v>
      </c>
      <c r="F35" s="9">
        <v>26000</v>
      </c>
      <c r="G35" s="9">
        <v>84000</v>
      </c>
      <c r="H35" s="9">
        <v>68000</v>
      </c>
      <c r="I35" s="9">
        <v>16000</v>
      </c>
      <c r="J35" s="9">
        <v>107000</v>
      </c>
      <c r="K35" s="9">
        <v>74000</v>
      </c>
      <c r="L35" s="9">
        <v>33000</v>
      </c>
    </row>
    <row r="36" spans="1:12" ht="12.45" customHeight="1">
      <c r="A36" s="117" t="s">
        <v>199</v>
      </c>
      <c r="B36" s="105">
        <v>48000</v>
      </c>
      <c r="C36" s="9">
        <v>32000</v>
      </c>
      <c r="D36" s="9">
        <v>30000</v>
      </c>
      <c r="E36" s="9">
        <v>2000</v>
      </c>
      <c r="F36" s="13" t="s">
        <v>220</v>
      </c>
      <c r="G36" s="9">
        <v>7000</v>
      </c>
      <c r="H36" s="9">
        <v>6000</v>
      </c>
      <c r="I36" s="13" t="s">
        <v>220</v>
      </c>
      <c r="J36" s="9">
        <v>9000</v>
      </c>
      <c r="K36" s="9">
        <v>9000</v>
      </c>
      <c r="L36" s="13" t="s">
        <v>220</v>
      </c>
    </row>
    <row r="37" spans="1:12" ht="12.45" customHeight="1">
      <c r="A37" s="117" t="s">
        <v>200</v>
      </c>
      <c r="B37" s="105">
        <v>38000</v>
      </c>
      <c r="C37" s="9">
        <v>32000</v>
      </c>
      <c r="D37" s="9">
        <v>27000</v>
      </c>
      <c r="E37" s="13" t="s">
        <v>191</v>
      </c>
      <c r="F37" s="13" t="s">
        <v>191</v>
      </c>
      <c r="G37" s="9">
        <v>5000</v>
      </c>
      <c r="H37" s="9">
        <v>3000</v>
      </c>
      <c r="I37" s="13" t="s">
        <v>220</v>
      </c>
      <c r="J37" s="13" t="s">
        <v>222</v>
      </c>
      <c r="K37" s="13" t="s">
        <v>220</v>
      </c>
      <c r="L37" s="13" t="s">
        <v>222</v>
      </c>
    </row>
    <row r="38" spans="1:12" ht="12.45" customHeight="1">
      <c r="A38" s="117" t="s">
        <v>201</v>
      </c>
      <c r="B38" s="105">
        <v>126000</v>
      </c>
      <c r="C38" s="9">
        <v>90000</v>
      </c>
      <c r="D38" s="9">
        <v>85000</v>
      </c>
      <c r="E38" s="9">
        <v>1000</v>
      </c>
      <c r="F38" s="9">
        <v>4000</v>
      </c>
      <c r="G38" s="9">
        <v>10000</v>
      </c>
      <c r="H38" s="9">
        <v>8000</v>
      </c>
      <c r="I38" s="13" t="s">
        <v>191</v>
      </c>
      <c r="J38" s="9">
        <v>26000</v>
      </c>
      <c r="K38" s="9">
        <v>5000</v>
      </c>
      <c r="L38" s="9">
        <v>21000</v>
      </c>
    </row>
    <row r="39" spans="1:12" ht="12.45" customHeight="1">
      <c r="A39" s="117" t="s">
        <v>202</v>
      </c>
      <c r="B39" s="105">
        <v>406000</v>
      </c>
      <c r="C39" s="9">
        <v>349000</v>
      </c>
      <c r="D39" s="9">
        <v>329000</v>
      </c>
      <c r="E39" s="9">
        <v>10000</v>
      </c>
      <c r="F39" s="9">
        <v>10000</v>
      </c>
      <c r="G39" s="9">
        <v>28000</v>
      </c>
      <c r="H39" s="9">
        <v>21000</v>
      </c>
      <c r="I39" s="9">
        <v>7000</v>
      </c>
      <c r="J39" s="9">
        <v>29000</v>
      </c>
      <c r="K39" s="9">
        <v>25000</v>
      </c>
      <c r="L39" s="9">
        <v>4000</v>
      </c>
    </row>
  </sheetData>
  <mergeCells count="6">
    <mergeCell ref="A1:M1"/>
    <mergeCell ref="A3:A4"/>
    <mergeCell ref="B3:B4"/>
    <mergeCell ref="C3:F3"/>
    <mergeCell ref="G3:I3"/>
    <mergeCell ref="J3:L3"/>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39"/>
  <sheetViews>
    <sheetView topLeftCell="G11" workbookViewId="0">
      <selection activeCell="A5" sqref="A5:L3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39" customHeight="1">
      <c r="A1" s="321" t="s">
        <v>251</v>
      </c>
      <c r="B1" s="321"/>
      <c r="C1" s="321"/>
      <c r="D1" s="321"/>
      <c r="E1" s="321"/>
      <c r="F1" s="321"/>
      <c r="G1" s="321"/>
      <c r="H1" s="321"/>
      <c r="I1" s="321"/>
      <c r="J1" s="321"/>
      <c r="K1" s="321"/>
      <c r="L1" s="321"/>
      <c r="M1" s="321"/>
    </row>
    <row r="2" spans="1:13" ht="1.95" customHeight="1"/>
    <row r="3" spans="1:13" ht="13.95" customHeight="1">
      <c r="A3" s="339" t="s">
        <v>166</v>
      </c>
      <c r="B3" s="345" t="s">
        <v>167</v>
      </c>
      <c r="C3" s="330" t="s">
        <v>252</v>
      </c>
      <c r="D3" s="331"/>
      <c r="E3" s="331"/>
      <c r="F3" s="332"/>
      <c r="G3" s="330" t="s">
        <v>253</v>
      </c>
      <c r="H3" s="331"/>
      <c r="I3" s="332"/>
      <c r="J3" s="330" t="s">
        <v>254</v>
      </c>
      <c r="K3" s="331"/>
      <c r="L3" s="332"/>
    </row>
    <row r="4" spans="1:13" ht="16.2" customHeight="1">
      <c r="A4" s="340"/>
      <c r="B4" s="346"/>
      <c r="C4" s="23" t="s">
        <v>167</v>
      </c>
      <c r="D4" s="41" t="s">
        <v>255</v>
      </c>
      <c r="E4" s="41" t="s">
        <v>256</v>
      </c>
      <c r="F4" s="41" t="s">
        <v>257</v>
      </c>
      <c r="G4" s="41" t="s">
        <v>167</v>
      </c>
      <c r="H4" s="43" t="s">
        <v>258</v>
      </c>
      <c r="I4" s="44" t="s">
        <v>259</v>
      </c>
      <c r="J4" s="41" t="s">
        <v>167</v>
      </c>
      <c r="K4" s="41" t="s">
        <v>260</v>
      </c>
      <c r="L4" s="41" t="s">
        <v>261</v>
      </c>
    </row>
    <row r="5" spans="1:13" ht="12.45" customHeight="1">
      <c r="A5" s="117" t="s">
        <v>203</v>
      </c>
      <c r="B5" s="107">
        <v>66000</v>
      </c>
      <c r="C5" s="7">
        <v>59000</v>
      </c>
      <c r="D5" s="7">
        <v>55000</v>
      </c>
      <c r="E5" s="7">
        <v>3000</v>
      </c>
      <c r="F5" s="19" t="s">
        <v>191</v>
      </c>
      <c r="G5" s="7">
        <v>4000</v>
      </c>
      <c r="H5" s="19" t="s">
        <v>191</v>
      </c>
      <c r="I5" s="19" t="s">
        <v>220</v>
      </c>
      <c r="J5" s="7">
        <v>2000</v>
      </c>
      <c r="K5" s="7">
        <v>1000</v>
      </c>
      <c r="L5" s="19" t="s">
        <v>191</v>
      </c>
    </row>
    <row r="6" spans="1:13" ht="12.45" customHeight="1">
      <c r="A6" s="117" t="s">
        <v>204</v>
      </c>
      <c r="B6" s="105">
        <v>159000</v>
      </c>
      <c r="C6" s="9">
        <v>131000</v>
      </c>
      <c r="D6" s="9">
        <v>125000</v>
      </c>
      <c r="E6" s="9">
        <v>4000</v>
      </c>
      <c r="F6" s="9">
        <v>2000</v>
      </c>
      <c r="G6" s="9">
        <v>14000</v>
      </c>
      <c r="H6" s="9">
        <v>13000</v>
      </c>
      <c r="I6" s="13" t="s">
        <v>191</v>
      </c>
      <c r="J6" s="9">
        <v>14000</v>
      </c>
      <c r="K6" s="9">
        <v>12000</v>
      </c>
      <c r="L6" s="9">
        <v>2000</v>
      </c>
    </row>
    <row r="7" spans="1:13" ht="12.45" customHeight="1">
      <c r="A7" s="117" t="s">
        <v>205</v>
      </c>
      <c r="B7" s="105">
        <v>188000</v>
      </c>
      <c r="C7" s="9">
        <v>145000</v>
      </c>
      <c r="D7" s="9">
        <v>136000</v>
      </c>
      <c r="E7" s="9">
        <v>4000</v>
      </c>
      <c r="F7" s="9">
        <v>6000</v>
      </c>
      <c r="G7" s="9">
        <v>15000</v>
      </c>
      <c r="H7" s="9">
        <v>14000</v>
      </c>
      <c r="I7" s="13" t="s">
        <v>191</v>
      </c>
      <c r="J7" s="9">
        <v>27000</v>
      </c>
      <c r="K7" s="9">
        <v>22000</v>
      </c>
      <c r="L7" s="9">
        <v>5000</v>
      </c>
    </row>
    <row r="8" spans="1:13" ht="12.45" customHeight="1">
      <c r="A8" s="115" t="s">
        <v>206</v>
      </c>
      <c r="B8" s="105">
        <v>2080000</v>
      </c>
      <c r="C8" s="9">
        <v>1321000</v>
      </c>
      <c r="D8" s="9">
        <v>804000</v>
      </c>
      <c r="E8" s="9">
        <v>427000</v>
      </c>
      <c r="F8" s="9">
        <v>91000</v>
      </c>
      <c r="G8" s="9">
        <v>531000</v>
      </c>
      <c r="H8" s="9">
        <v>167000</v>
      </c>
      <c r="I8" s="9">
        <v>364000</v>
      </c>
      <c r="J8" s="9">
        <v>228000</v>
      </c>
      <c r="K8" s="9">
        <v>96000</v>
      </c>
      <c r="L8" s="9">
        <v>133000</v>
      </c>
    </row>
    <row r="9" spans="1:13" ht="12.45" customHeight="1">
      <c r="A9" s="116" t="s">
        <v>207</v>
      </c>
      <c r="B9" s="105">
        <v>1561000</v>
      </c>
      <c r="C9" s="9">
        <v>1056000</v>
      </c>
      <c r="D9" s="9">
        <v>585000</v>
      </c>
      <c r="E9" s="9">
        <v>402000</v>
      </c>
      <c r="F9" s="9">
        <v>69000</v>
      </c>
      <c r="G9" s="9">
        <v>317000</v>
      </c>
      <c r="H9" s="9">
        <v>139000</v>
      </c>
      <c r="I9" s="9">
        <v>178000</v>
      </c>
      <c r="J9" s="9">
        <v>188000</v>
      </c>
      <c r="K9" s="9">
        <v>91000</v>
      </c>
      <c r="L9" s="9">
        <v>98000</v>
      </c>
    </row>
    <row r="10" spans="1:13" ht="12.45" customHeight="1">
      <c r="A10" s="116" t="s">
        <v>208</v>
      </c>
      <c r="B10" s="105">
        <v>244000</v>
      </c>
      <c r="C10" s="9">
        <v>47000</v>
      </c>
      <c r="D10" s="9">
        <v>31000</v>
      </c>
      <c r="E10" s="9">
        <v>9000</v>
      </c>
      <c r="F10" s="9">
        <v>7000</v>
      </c>
      <c r="G10" s="9">
        <v>195000</v>
      </c>
      <c r="H10" s="9">
        <v>12000</v>
      </c>
      <c r="I10" s="9">
        <v>183000</v>
      </c>
      <c r="J10" s="9">
        <v>2000</v>
      </c>
      <c r="K10" s="13" t="s">
        <v>191</v>
      </c>
      <c r="L10" s="9">
        <v>1000</v>
      </c>
    </row>
    <row r="11" spans="1:13" ht="12.45" customHeight="1">
      <c r="A11" s="116" t="s">
        <v>209</v>
      </c>
      <c r="B11" s="105">
        <v>86000</v>
      </c>
      <c r="C11" s="9">
        <v>77000</v>
      </c>
      <c r="D11" s="9">
        <v>72000</v>
      </c>
      <c r="E11" s="9">
        <v>3000</v>
      </c>
      <c r="F11" s="9">
        <v>2000</v>
      </c>
      <c r="G11" s="9">
        <v>6000</v>
      </c>
      <c r="H11" s="9">
        <v>5000</v>
      </c>
      <c r="I11" s="9">
        <v>1000</v>
      </c>
      <c r="J11" s="9">
        <v>3000</v>
      </c>
      <c r="K11" s="9">
        <v>1000</v>
      </c>
      <c r="L11" s="9">
        <v>2000</v>
      </c>
    </row>
    <row r="12" spans="1:13" ht="12.45" customHeight="1">
      <c r="A12" s="116" t="s">
        <v>210</v>
      </c>
      <c r="B12" s="105">
        <v>189000</v>
      </c>
      <c r="C12" s="9">
        <v>141000</v>
      </c>
      <c r="D12" s="9">
        <v>116000</v>
      </c>
      <c r="E12" s="9">
        <v>13000</v>
      </c>
      <c r="F12" s="9">
        <v>12000</v>
      </c>
      <c r="G12" s="9">
        <v>14000</v>
      </c>
      <c r="H12" s="9">
        <v>11000</v>
      </c>
      <c r="I12" s="13" t="s">
        <v>191</v>
      </c>
      <c r="J12" s="9">
        <v>35000</v>
      </c>
      <c r="K12" s="9">
        <v>3000</v>
      </c>
      <c r="L12" s="9">
        <v>32000</v>
      </c>
    </row>
    <row r="13" spans="1:13" ht="12.45" customHeight="1">
      <c r="A13" s="115" t="s">
        <v>211</v>
      </c>
      <c r="B13" s="105">
        <v>8928000</v>
      </c>
      <c r="C13" s="9">
        <v>4756000</v>
      </c>
      <c r="D13" s="9">
        <v>3493000</v>
      </c>
      <c r="E13" s="9">
        <v>795000</v>
      </c>
      <c r="F13" s="9">
        <v>468000</v>
      </c>
      <c r="G13" s="9">
        <v>3279000</v>
      </c>
      <c r="H13" s="9">
        <v>590000</v>
      </c>
      <c r="I13" s="9">
        <v>2689000</v>
      </c>
      <c r="J13" s="9">
        <v>893000</v>
      </c>
      <c r="K13" s="9">
        <v>362000</v>
      </c>
      <c r="L13" s="9">
        <v>531000</v>
      </c>
    </row>
    <row r="14" spans="1:13" ht="12.45" customHeight="1">
      <c r="A14" s="116" t="s">
        <v>212</v>
      </c>
      <c r="B14" s="105">
        <v>3311000</v>
      </c>
      <c r="C14" s="9">
        <v>2732000</v>
      </c>
      <c r="D14" s="9">
        <v>2357000</v>
      </c>
      <c r="E14" s="9">
        <v>205000</v>
      </c>
      <c r="F14" s="9">
        <v>171000</v>
      </c>
      <c r="G14" s="9">
        <v>240000</v>
      </c>
      <c r="H14" s="9">
        <v>125000</v>
      </c>
      <c r="I14" s="9">
        <v>115000</v>
      </c>
      <c r="J14" s="9">
        <v>339000</v>
      </c>
      <c r="K14" s="9">
        <v>213000</v>
      </c>
      <c r="L14" s="9">
        <v>125000</v>
      </c>
    </row>
    <row r="15" spans="1:13" ht="12.45" customHeight="1">
      <c r="A15" s="155" t="s">
        <v>213</v>
      </c>
      <c r="B15" s="105">
        <v>2888000</v>
      </c>
      <c r="C15" s="9">
        <v>414000</v>
      </c>
      <c r="D15" s="9">
        <v>238000</v>
      </c>
      <c r="E15" s="9">
        <v>78000</v>
      </c>
      <c r="F15" s="9">
        <v>99000</v>
      </c>
      <c r="G15" s="9">
        <v>2382000</v>
      </c>
      <c r="H15" s="9">
        <v>193000</v>
      </c>
      <c r="I15" s="9">
        <v>2189000</v>
      </c>
      <c r="J15" s="9">
        <v>91000</v>
      </c>
      <c r="K15" s="9">
        <v>4000</v>
      </c>
      <c r="L15" s="9">
        <v>88000</v>
      </c>
    </row>
    <row r="16" spans="1:13" ht="12.45" customHeight="1">
      <c r="A16" s="116" t="s">
        <v>214</v>
      </c>
      <c r="B16" s="105">
        <v>841000</v>
      </c>
      <c r="C16" s="9">
        <v>577000</v>
      </c>
      <c r="D16" s="9">
        <v>217000</v>
      </c>
      <c r="E16" s="9">
        <v>322000</v>
      </c>
      <c r="F16" s="9">
        <v>39000</v>
      </c>
      <c r="G16" s="9">
        <v>149000</v>
      </c>
      <c r="H16" s="9">
        <v>51000</v>
      </c>
      <c r="I16" s="9">
        <v>98000</v>
      </c>
      <c r="J16" s="9">
        <v>114000</v>
      </c>
      <c r="K16" s="9">
        <v>36000</v>
      </c>
      <c r="L16" s="9">
        <v>78000</v>
      </c>
    </row>
    <row r="17" spans="1:12" ht="12.45" customHeight="1">
      <c r="A17" s="116" t="s">
        <v>215</v>
      </c>
      <c r="B17" s="105">
        <v>210000</v>
      </c>
      <c r="C17" s="9">
        <v>186000</v>
      </c>
      <c r="D17" s="9">
        <v>158000</v>
      </c>
      <c r="E17" s="9">
        <v>7000</v>
      </c>
      <c r="F17" s="9">
        <v>20000</v>
      </c>
      <c r="G17" s="9">
        <v>14000</v>
      </c>
      <c r="H17" s="13" t="s">
        <v>191</v>
      </c>
      <c r="I17" s="9">
        <v>7000</v>
      </c>
      <c r="J17" s="13" t="s">
        <v>191</v>
      </c>
      <c r="K17" s="13" t="s">
        <v>191</v>
      </c>
      <c r="L17" s="13" t="s">
        <v>191</v>
      </c>
    </row>
    <row r="18" spans="1:12" ht="12.45" customHeight="1">
      <c r="A18" s="116" t="s">
        <v>216</v>
      </c>
      <c r="B18" s="105">
        <v>740000</v>
      </c>
      <c r="C18" s="9">
        <v>418000</v>
      </c>
      <c r="D18" s="9">
        <v>225000</v>
      </c>
      <c r="E18" s="9">
        <v>107000</v>
      </c>
      <c r="F18" s="9">
        <v>85000</v>
      </c>
      <c r="G18" s="9">
        <v>287000</v>
      </c>
      <c r="H18" s="9">
        <v>124000</v>
      </c>
      <c r="I18" s="9">
        <v>163000</v>
      </c>
      <c r="J18" s="9">
        <v>35000</v>
      </c>
      <c r="K18" s="9">
        <v>18000</v>
      </c>
      <c r="L18" s="9">
        <v>17000</v>
      </c>
    </row>
    <row r="19" spans="1:12" ht="12.45" customHeight="1">
      <c r="A19" s="116" t="s">
        <v>217</v>
      </c>
      <c r="B19" s="105">
        <v>938000</v>
      </c>
      <c r="C19" s="9">
        <v>429000</v>
      </c>
      <c r="D19" s="9">
        <v>299000</v>
      </c>
      <c r="E19" s="9">
        <v>77000</v>
      </c>
      <c r="F19" s="9">
        <v>54000</v>
      </c>
      <c r="G19" s="9">
        <v>207000</v>
      </c>
      <c r="H19" s="9">
        <v>90000</v>
      </c>
      <c r="I19" s="9">
        <v>117000</v>
      </c>
      <c r="J19" s="9">
        <v>302000</v>
      </c>
      <c r="K19" s="9">
        <v>83000</v>
      </c>
      <c r="L19" s="9">
        <v>219000</v>
      </c>
    </row>
    <row r="20" spans="1:12" ht="12.45" customHeight="1">
      <c r="A20" s="135" t="s">
        <v>221</v>
      </c>
      <c r="B20" s="136">
        <v>2141000</v>
      </c>
      <c r="C20" s="137">
        <v>995000</v>
      </c>
      <c r="D20" s="137">
        <v>695000</v>
      </c>
      <c r="E20" s="137">
        <v>193000</v>
      </c>
      <c r="F20" s="137">
        <v>107000</v>
      </c>
      <c r="G20" s="137">
        <v>981000</v>
      </c>
      <c r="H20" s="137">
        <v>808000</v>
      </c>
      <c r="I20" s="137">
        <v>173000</v>
      </c>
      <c r="J20" s="137">
        <v>165000</v>
      </c>
      <c r="K20" s="137">
        <v>115000</v>
      </c>
      <c r="L20" s="137">
        <v>50000</v>
      </c>
    </row>
    <row r="21" spans="1:12" ht="12.45" customHeight="1">
      <c r="A21" s="138" t="s">
        <v>178</v>
      </c>
      <c r="B21" s="105">
        <v>1302000</v>
      </c>
      <c r="C21" s="9">
        <v>647000</v>
      </c>
      <c r="D21" s="9">
        <v>504000</v>
      </c>
      <c r="E21" s="9">
        <v>85000</v>
      </c>
      <c r="F21" s="9">
        <v>57000</v>
      </c>
      <c r="G21" s="9">
        <v>547000</v>
      </c>
      <c r="H21" s="9">
        <v>498000</v>
      </c>
      <c r="I21" s="9">
        <v>49000</v>
      </c>
      <c r="J21" s="9">
        <v>109000</v>
      </c>
      <c r="K21" s="9">
        <v>83000</v>
      </c>
      <c r="L21" s="9">
        <v>26000</v>
      </c>
    </row>
    <row r="22" spans="1:12" ht="12.45" customHeight="1">
      <c r="A22" s="156" t="s">
        <v>179</v>
      </c>
      <c r="B22" s="105">
        <v>380000</v>
      </c>
      <c r="C22" s="9">
        <v>163000</v>
      </c>
      <c r="D22" s="9">
        <v>123000</v>
      </c>
      <c r="E22" s="9">
        <v>31000</v>
      </c>
      <c r="F22" s="9">
        <v>9000</v>
      </c>
      <c r="G22" s="9">
        <v>181000</v>
      </c>
      <c r="H22" s="9">
        <v>168000</v>
      </c>
      <c r="I22" s="9">
        <v>13000</v>
      </c>
      <c r="J22" s="9">
        <v>36000</v>
      </c>
      <c r="K22" s="9">
        <v>31000</v>
      </c>
      <c r="L22" s="9">
        <v>6000</v>
      </c>
    </row>
    <row r="23" spans="1:12" ht="12.45" customHeight="1">
      <c r="A23" s="140" t="s">
        <v>180</v>
      </c>
      <c r="B23" s="105">
        <v>23000</v>
      </c>
      <c r="C23" s="9">
        <v>11000</v>
      </c>
      <c r="D23" s="9">
        <v>10000</v>
      </c>
      <c r="E23" s="13" t="s">
        <v>191</v>
      </c>
      <c r="F23" s="13" t="s">
        <v>220</v>
      </c>
      <c r="G23" s="9">
        <v>11000</v>
      </c>
      <c r="H23" s="9">
        <v>11000</v>
      </c>
      <c r="I23" s="13" t="s">
        <v>220</v>
      </c>
      <c r="J23" s="9">
        <v>1000</v>
      </c>
      <c r="K23" s="9">
        <v>1000</v>
      </c>
      <c r="L23" s="13" t="s">
        <v>220</v>
      </c>
    </row>
    <row r="24" spans="1:12" ht="12.45" customHeight="1">
      <c r="A24" s="140" t="s">
        <v>181</v>
      </c>
      <c r="B24" s="105">
        <v>350000</v>
      </c>
      <c r="C24" s="9">
        <v>149000</v>
      </c>
      <c r="D24" s="9">
        <v>111000</v>
      </c>
      <c r="E24" s="9">
        <v>30000</v>
      </c>
      <c r="F24" s="9">
        <v>9000</v>
      </c>
      <c r="G24" s="9">
        <v>168000</v>
      </c>
      <c r="H24" s="9">
        <v>155000</v>
      </c>
      <c r="I24" s="9">
        <v>13000</v>
      </c>
      <c r="J24" s="9">
        <v>33000</v>
      </c>
      <c r="K24" s="9">
        <v>28000</v>
      </c>
      <c r="L24" s="9">
        <v>5000</v>
      </c>
    </row>
    <row r="25" spans="1:12" ht="12.45" customHeight="1">
      <c r="A25" s="140" t="s">
        <v>182</v>
      </c>
      <c r="B25" s="105">
        <v>7000</v>
      </c>
      <c r="C25" s="9">
        <v>2000</v>
      </c>
      <c r="D25" s="9">
        <v>2000</v>
      </c>
      <c r="E25" s="13" t="s">
        <v>220</v>
      </c>
      <c r="F25" s="13" t="s">
        <v>220</v>
      </c>
      <c r="G25" s="9">
        <v>3000</v>
      </c>
      <c r="H25" s="9">
        <v>3000</v>
      </c>
      <c r="I25" s="13" t="s">
        <v>220</v>
      </c>
      <c r="J25" s="13" t="s">
        <v>191</v>
      </c>
      <c r="K25" s="13" t="s">
        <v>191</v>
      </c>
      <c r="L25" s="13" t="s">
        <v>222</v>
      </c>
    </row>
    <row r="26" spans="1:12" ht="12.45" customHeight="1">
      <c r="A26" s="139" t="s">
        <v>183</v>
      </c>
      <c r="B26" s="105">
        <v>127000</v>
      </c>
      <c r="C26" s="9">
        <v>66000</v>
      </c>
      <c r="D26" s="9">
        <v>62000</v>
      </c>
      <c r="E26" s="9">
        <v>3000</v>
      </c>
      <c r="F26" s="13" t="s">
        <v>191</v>
      </c>
      <c r="G26" s="9">
        <v>55000</v>
      </c>
      <c r="H26" s="9">
        <v>51000</v>
      </c>
      <c r="I26" s="9">
        <v>4000</v>
      </c>
      <c r="J26" s="9">
        <v>5000</v>
      </c>
      <c r="K26" s="9">
        <v>5000</v>
      </c>
      <c r="L26" s="13" t="s">
        <v>220</v>
      </c>
    </row>
    <row r="27" spans="1:12" ht="12.45" customHeight="1">
      <c r="A27" s="140" t="s">
        <v>184</v>
      </c>
      <c r="B27" s="105">
        <v>68000</v>
      </c>
      <c r="C27" s="9">
        <v>45000</v>
      </c>
      <c r="D27" s="9">
        <v>43000</v>
      </c>
      <c r="E27" s="9">
        <v>1000</v>
      </c>
      <c r="F27" s="13" t="s">
        <v>191</v>
      </c>
      <c r="G27" s="9">
        <v>19000</v>
      </c>
      <c r="H27" s="9">
        <v>19000</v>
      </c>
      <c r="I27" s="13" t="s">
        <v>220</v>
      </c>
      <c r="J27" s="9">
        <v>3000</v>
      </c>
      <c r="K27" s="9">
        <v>3000</v>
      </c>
      <c r="L27" s="13" t="s">
        <v>220</v>
      </c>
    </row>
    <row r="28" spans="1:12" ht="12.45" customHeight="1">
      <c r="A28" s="140" t="s">
        <v>185</v>
      </c>
      <c r="B28" s="105">
        <v>59000</v>
      </c>
      <c r="C28" s="9">
        <v>21000</v>
      </c>
      <c r="D28" s="9">
        <v>19000</v>
      </c>
      <c r="E28" s="9">
        <v>1000</v>
      </c>
      <c r="F28" s="13" t="s">
        <v>222</v>
      </c>
      <c r="G28" s="9">
        <v>35000</v>
      </c>
      <c r="H28" s="9">
        <v>32000</v>
      </c>
      <c r="I28" s="9">
        <v>3000</v>
      </c>
      <c r="J28" s="9">
        <v>2000</v>
      </c>
      <c r="K28" s="9">
        <v>2000</v>
      </c>
      <c r="L28" s="13" t="s">
        <v>220</v>
      </c>
    </row>
    <row r="29" spans="1:12" ht="12.45" customHeight="1">
      <c r="A29" s="139" t="s">
        <v>186</v>
      </c>
      <c r="B29" s="105">
        <v>215000</v>
      </c>
      <c r="C29" s="9">
        <v>116000</v>
      </c>
      <c r="D29" s="9">
        <v>99000</v>
      </c>
      <c r="E29" s="9">
        <v>10000</v>
      </c>
      <c r="F29" s="9">
        <v>7000</v>
      </c>
      <c r="G29" s="9">
        <v>75000</v>
      </c>
      <c r="H29" s="9">
        <v>70000</v>
      </c>
      <c r="I29" s="9">
        <v>5000</v>
      </c>
      <c r="J29" s="9">
        <v>24000</v>
      </c>
      <c r="K29" s="9">
        <v>21000</v>
      </c>
      <c r="L29" s="9">
        <v>3000</v>
      </c>
    </row>
    <row r="30" spans="1:12" ht="12.45" customHeight="1">
      <c r="A30" s="140" t="s">
        <v>187</v>
      </c>
      <c r="B30" s="105">
        <v>97000</v>
      </c>
      <c r="C30" s="9">
        <v>60000</v>
      </c>
      <c r="D30" s="9">
        <v>54000</v>
      </c>
      <c r="E30" s="9">
        <v>3000</v>
      </c>
      <c r="F30" s="9">
        <v>3000</v>
      </c>
      <c r="G30" s="9">
        <v>31000</v>
      </c>
      <c r="H30" s="9">
        <v>27000</v>
      </c>
      <c r="I30" s="9">
        <v>4000</v>
      </c>
      <c r="J30" s="9">
        <v>7000</v>
      </c>
      <c r="K30" s="9">
        <v>6000</v>
      </c>
      <c r="L30" s="13" t="s">
        <v>222</v>
      </c>
    </row>
    <row r="31" spans="1:12" ht="12.45" customHeight="1">
      <c r="A31" s="140" t="s">
        <v>188</v>
      </c>
      <c r="B31" s="105">
        <v>33000</v>
      </c>
      <c r="C31" s="9">
        <v>11000</v>
      </c>
      <c r="D31" s="9">
        <v>8000</v>
      </c>
      <c r="E31" s="9">
        <v>3000</v>
      </c>
      <c r="F31" s="13" t="s">
        <v>220</v>
      </c>
      <c r="G31" s="9">
        <v>16000</v>
      </c>
      <c r="H31" s="9">
        <v>15000</v>
      </c>
      <c r="I31" s="13" t="s">
        <v>191</v>
      </c>
      <c r="J31" s="9">
        <v>6000</v>
      </c>
      <c r="K31" s="9">
        <v>5000</v>
      </c>
      <c r="L31" s="13" t="s">
        <v>220</v>
      </c>
    </row>
    <row r="32" spans="1:12" ht="12.45" customHeight="1">
      <c r="A32" s="140" t="s">
        <v>189</v>
      </c>
      <c r="B32" s="105">
        <v>82000</v>
      </c>
      <c r="C32" s="9">
        <v>44000</v>
      </c>
      <c r="D32" s="9">
        <v>36000</v>
      </c>
      <c r="E32" s="9">
        <v>4000</v>
      </c>
      <c r="F32" s="9">
        <v>3000</v>
      </c>
      <c r="G32" s="9">
        <v>29000</v>
      </c>
      <c r="H32" s="9">
        <v>28000</v>
      </c>
      <c r="I32" s="9">
        <v>1000</v>
      </c>
      <c r="J32" s="9">
        <v>10000</v>
      </c>
      <c r="K32" s="9">
        <v>8000</v>
      </c>
      <c r="L32" s="9">
        <v>1000</v>
      </c>
    </row>
    <row r="33" spans="1:12" ht="12.45" customHeight="1">
      <c r="A33" s="140" t="s">
        <v>190</v>
      </c>
      <c r="B33" s="105">
        <v>2000</v>
      </c>
      <c r="C33" s="13" t="s">
        <v>191</v>
      </c>
      <c r="D33" s="13" t="s">
        <v>191</v>
      </c>
      <c r="E33" s="13" t="s">
        <v>220</v>
      </c>
      <c r="F33" s="13" t="s">
        <v>220</v>
      </c>
      <c r="G33" s="13" t="s">
        <v>220</v>
      </c>
      <c r="H33" s="13" t="s">
        <v>220</v>
      </c>
      <c r="I33" s="13" t="s">
        <v>220</v>
      </c>
      <c r="J33" s="13" t="s">
        <v>220</v>
      </c>
      <c r="K33" s="13" t="s">
        <v>220</v>
      </c>
      <c r="L33" s="13" t="s">
        <v>220</v>
      </c>
    </row>
    <row r="34" spans="1:12" ht="12.45" customHeight="1">
      <c r="A34" s="139" t="s">
        <v>192</v>
      </c>
      <c r="B34" s="105">
        <v>325000</v>
      </c>
      <c r="C34" s="9">
        <v>132000</v>
      </c>
      <c r="D34" s="9">
        <v>67000</v>
      </c>
      <c r="E34" s="9">
        <v>35000</v>
      </c>
      <c r="F34" s="9">
        <v>30000</v>
      </c>
      <c r="G34" s="9">
        <v>169000</v>
      </c>
      <c r="H34" s="9">
        <v>143000</v>
      </c>
      <c r="I34" s="9">
        <v>25000</v>
      </c>
      <c r="J34" s="9">
        <v>25000</v>
      </c>
      <c r="K34" s="9">
        <v>14000</v>
      </c>
      <c r="L34" s="9">
        <v>11000</v>
      </c>
    </row>
    <row r="35" spans="1:12" ht="12.45" customHeight="1">
      <c r="A35" s="140" t="s">
        <v>193</v>
      </c>
      <c r="B35" s="105">
        <v>42000</v>
      </c>
      <c r="C35" s="9">
        <v>19000</v>
      </c>
      <c r="D35" s="9">
        <v>16000</v>
      </c>
      <c r="E35" s="9">
        <v>2000</v>
      </c>
      <c r="F35" s="13" t="s">
        <v>191</v>
      </c>
      <c r="G35" s="9">
        <v>19000</v>
      </c>
      <c r="H35" s="9">
        <v>17000</v>
      </c>
      <c r="I35" s="13" t="s">
        <v>191</v>
      </c>
      <c r="J35" s="9">
        <v>4000</v>
      </c>
      <c r="K35" s="9">
        <v>3000</v>
      </c>
      <c r="L35" s="13" t="s">
        <v>191</v>
      </c>
    </row>
    <row r="36" spans="1:12" ht="12.45" customHeight="1">
      <c r="A36" s="140" t="s">
        <v>194</v>
      </c>
      <c r="B36" s="105">
        <v>32000</v>
      </c>
      <c r="C36" s="9">
        <v>8000</v>
      </c>
      <c r="D36" s="9">
        <v>4000</v>
      </c>
      <c r="E36" s="9">
        <v>3000</v>
      </c>
      <c r="F36" s="13" t="s">
        <v>220</v>
      </c>
      <c r="G36" s="9">
        <v>20000</v>
      </c>
      <c r="H36" s="9">
        <v>19000</v>
      </c>
      <c r="I36" s="9">
        <v>1000</v>
      </c>
      <c r="J36" s="9">
        <v>4000</v>
      </c>
      <c r="K36" s="9">
        <v>1000</v>
      </c>
      <c r="L36" s="13" t="s">
        <v>191</v>
      </c>
    </row>
    <row r="37" spans="1:12" ht="12.45" customHeight="1">
      <c r="A37" s="140" t="s">
        <v>195</v>
      </c>
      <c r="B37" s="105">
        <v>165000</v>
      </c>
      <c r="C37" s="9">
        <v>85000</v>
      </c>
      <c r="D37" s="9">
        <v>38000</v>
      </c>
      <c r="E37" s="9">
        <v>22000</v>
      </c>
      <c r="F37" s="9">
        <v>26000</v>
      </c>
      <c r="G37" s="9">
        <v>66000</v>
      </c>
      <c r="H37" s="9">
        <v>52000</v>
      </c>
      <c r="I37" s="9">
        <v>14000</v>
      </c>
      <c r="J37" s="9">
        <v>14000</v>
      </c>
      <c r="K37" s="9">
        <v>9000</v>
      </c>
      <c r="L37" s="9">
        <v>5000</v>
      </c>
    </row>
    <row r="38" spans="1:12" ht="12.45" customHeight="1">
      <c r="A38" s="140" t="s">
        <v>196</v>
      </c>
      <c r="B38" s="105">
        <v>46000</v>
      </c>
      <c r="C38" s="9">
        <v>7000</v>
      </c>
      <c r="D38" s="9">
        <v>3000</v>
      </c>
      <c r="E38" s="9">
        <v>3000</v>
      </c>
      <c r="F38" s="9">
        <v>1000</v>
      </c>
      <c r="G38" s="9">
        <v>37000</v>
      </c>
      <c r="H38" s="9">
        <v>34000</v>
      </c>
      <c r="I38" s="13" t="s">
        <v>191</v>
      </c>
      <c r="J38" s="9">
        <v>2000</v>
      </c>
      <c r="K38" s="9">
        <v>1000</v>
      </c>
      <c r="L38" s="13" t="s">
        <v>191</v>
      </c>
    </row>
    <row r="39" spans="1:12" ht="12.45" customHeight="1">
      <c r="A39" s="140" t="s">
        <v>197</v>
      </c>
      <c r="B39" s="105">
        <v>40000</v>
      </c>
      <c r="C39" s="9">
        <v>12000</v>
      </c>
      <c r="D39" s="9">
        <v>5000</v>
      </c>
      <c r="E39" s="9">
        <v>5000</v>
      </c>
      <c r="F39" s="13" t="s">
        <v>220</v>
      </c>
      <c r="G39" s="9">
        <v>26000</v>
      </c>
      <c r="H39" s="9">
        <v>22000</v>
      </c>
      <c r="I39" s="9">
        <v>4000</v>
      </c>
      <c r="J39" s="13" t="s">
        <v>191</v>
      </c>
      <c r="K39" s="13" t="s">
        <v>222</v>
      </c>
      <c r="L39" s="13" t="s">
        <v>191</v>
      </c>
    </row>
  </sheetData>
  <mergeCells count="6">
    <mergeCell ref="A1:M1"/>
    <mergeCell ref="A3:A4"/>
    <mergeCell ref="B3:B4"/>
    <mergeCell ref="C3:F3"/>
    <mergeCell ref="G3:I3"/>
    <mergeCell ref="J3:L3"/>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0"/>
  <sheetViews>
    <sheetView topLeftCell="G7" workbookViewId="0">
      <selection activeCell="A4" sqref="A4:M29"/>
    </sheetView>
  </sheetViews>
  <sheetFormatPr defaultRowHeight="13.2"/>
  <cols>
    <col min="1" max="1" width="69.33203125" customWidth="1"/>
    <col min="2" max="2" width="14.109375" customWidth="1"/>
    <col min="3" max="3" width="14.44140625" customWidth="1"/>
    <col min="4" max="5" width="34.77734375" customWidth="1"/>
    <col min="6" max="6" width="36.77734375" customWidth="1"/>
    <col min="7" max="7" width="12.6640625" customWidth="1"/>
    <col min="8" max="8" width="35.109375" customWidth="1"/>
    <col min="9" max="9" width="57.44140625" customWidth="1"/>
    <col min="10" max="10" width="12.6640625" customWidth="1"/>
    <col min="11" max="11" width="23.77734375" customWidth="1"/>
    <col min="12" max="12" width="30" customWidth="1"/>
    <col min="13" max="13" width="2.44140625" customWidth="1"/>
  </cols>
  <sheetData>
    <row r="1" spans="1:13" ht="42.75" customHeight="1">
      <c r="A1" s="321" t="s">
        <v>251</v>
      </c>
      <c r="B1" s="321"/>
      <c r="C1" s="321"/>
      <c r="D1" s="321"/>
      <c r="E1" s="321"/>
      <c r="F1" s="321"/>
      <c r="G1" s="321"/>
      <c r="H1" s="321"/>
      <c r="I1" s="321"/>
      <c r="J1" s="321"/>
      <c r="K1" s="321"/>
      <c r="L1" s="321"/>
      <c r="M1" s="321"/>
    </row>
    <row r="2" spans="1:13" ht="13.95" customHeight="1">
      <c r="A2" s="339" t="s">
        <v>166</v>
      </c>
      <c r="B2" s="345" t="s">
        <v>167</v>
      </c>
      <c r="C2" s="330" t="s">
        <v>252</v>
      </c>
      <c r="D2" s="331"/>
      <c r="E2" s="331"/>
      <c r="F2" s="332"/>
      <c r="G2" s="330" t="s">
        <v>253</v>
      </c>
      <c r="H2" s="331"/>
      <c r="I2" s="332"/>
      <c r="J2" s="330" t="s">
        <v>254</v>
      </c>
      <c r="K2" s="331"/>
      <c r="L2" s="332"/>
    </row>
    <row r="3" spans="1:13" ht="16.2" customHeight="1">
      <c r="A3" s="340"/>
      <c r="B3" s="346"/>
      <c r="C3" s="23" t="s">
        <v>167</v>
      </c>
      <c r="D3" s="41" t="s">
        <v>255</v>
      </c>
      <c r="E3" s="41" t="s">
        <v>256</v>
      </c>
      <c r="F3" s="41" t="s">
        <v>257</v>
      </c>
      <c r="G3" s="41" t="s">
        <v>167</v>
      </c>
      <c r="H3" s="43" t="s">
        <v>258</v>
      </c>
      <c r="I3" s="44" t="s">
        <v>259</v>
      </c>
      <c r="J3" s="41" t="s">
        <v>167</v>
      </c>
      <c r="K3" s="41" t="s">
        <v>260</v>
      </c>
      <c r="L3" s="41" t="s">
        <v>261</v>
      </c>
    </row>
    <row r="4" spans="1:13" ht="12.45" customHeight="1">
      <c r="A4" s="139" t="s">
        <v>198</v>
      </c>
      <c r="B4" s="107">
        <v>256000</v>
      </c>
      <c r="C4" s="7">
        <v>171000</v>
      </c>
      <c r="D4" s="7">
        <v>152000</v>
      </c>
      <c r="E4" s="7">
        <v>8000</v>
      </c>
      <c r="F4" s="7">
        <v>11000</v>
      </c>
      <c r="G4" s="7">
        <v>67000</v>
      </c>
      <c r="H4" s="7">
        <v>65000</v>
      </c>
      <c r="I4" s="7">
        <v>2000</v>
      </c>
      <c r="J4" s="7">
        <v>18000</v>
      </c>
      <c r="K4" s="7">
        <v>12000</v>
      </c>
      <c r="L4" s="7">
        <v>6000</v>
      </c>
    </row>
    <row r="5" spans="1:13" ht="12.45" customHeight="1">
      <c r="A5" s="140" t="s">
        <v>199</v>
      </c>
      <c r="B5" s="105">
        <v>11000</v>
      </c>
      <c r="C5" s="9">
        <v>5000</v>
      </c>
      <c r="D5" s="9">
        <v>4000</v>
      </c>
      <c r="E5" s="13" t="s">
        <v>220</v>
      </c>
      <c r="F5" s="13" t="s">
        <v>220</v>
      </c>
      <c r="G5" s="9">
        <v>4000</v>
      </c>
      <c r="H5" s="9">
        <v>4000</v>
      </c>
      <c r="I5" s="13" t="s">
        <v>220</v>
      </c>
      <c r="J5" s="9">
        <v>2000</v>
      </c>
      <c r="K5" s="9">
        <v>2000</v>
      </c>
      <c r="L5" s="13" t="s">
        <v>220</v>
      </c>
    </row>
    <row r="6" spans="1:13" ht="12.45" customHeight="1">
      <c r="A6" s="140" t="s">
        <v>200</v>
      </c>
      <c r="B6" s="105">
        <v>30000</v>
      </c>
      <c r="C6" s="9">
        <v>23000</v>
      </c>
      <c r="D6" s="9">
        <v>20000</v>
      </c>
      <c r="E6" s="13" t="s">
        <v>220</v>
      </c>
      <c r="F6" s="13" t="s">
        <v>191</v>
      </c>
      <c r="G6" s="9">
        <v>6000</v>
      </c>
      <c r="H6" s="9">
        <v>6000</v>
      </c>
      <c r="I6" s="13" t="s">
        <v>220</v>
      </c>
      <c r="J6" s="13" t="s">
        <v>191</v>
      </c>
      <c r="K6" s="13" t="s">
        <v>220</v>
      </c>
      <c r="L6" s="13" t="s">
        <v>220</v>
      </c>
    </row>
    <row r="7" spans="1:13" ht="12.45" customHeight="1">
      <c r="A7" s="140" t="s">
        <v>201</v>
      </c>
      <c r="B7" s="105">
        <v>22000</v>
      </c>
      <c r="C7" s="9">
        <v>11000</v>
      </c>
      <c r="D7" s="9">
        <v>9000</v>
      </c>
      <c r="E7" s="13" t="s">
        <v>220</v>
      </c>
      <c r="F7" s="9">
        <v>1000</v>
      </c>
      <c r="G7" s="9">
        <v>8000</v>
      </c>
      <c r="H7" s="9">
        <v>7000</v>
      </c>
      <c r="I7" s="13" t="s">
        <v>220</v>
      </c>
      <c r="J7" s="9">
        <v>3000</v>
      </c>
      <c r="K7" s="9">
        <v>1000</v>
      </c>
      <c r="L7" s="9">
        <v>2000</v>
      </c>
    </row>
    <row r="8" spans="1:13" ht="12.45" customHeight="1">
      <c r="A8" s="140" t="s">
        <v>202</v>
      </c>
      <c r="B8" s="105">
        <v>79000</v>
      </c>
      <c r="C8" s="9">
        <v>58000</v>
      </c>
      <c r="D8" s="9">
        <v>54000</v>
      </c>
      <c r="E8" s="9">
        <v>2000</v>
      </c>
      <c r="F8" s="13" t="s">
        <v>191</v>
      </c>
      <c r="G8" s="9">
        <v>18000</v>
      </c>
      <c r="H8" s="9">
        <v>17000</v>
      </c>
      <c r="I8" s="13" t="s">
        <v>191</v>
      </c>
      <c r="J8" s="9">
        <v>3000</v>
      </c>
      <c r="K8" s="9">
        <v>3000</v>
      </c>
      <c r="L8" s="13" t="s">
        <v>222</v>
      </c>
    </row>
    <row r="9" spans="1:13" ht="12.45" customHeight="1">
      <c r="A9" s="140" t="s">
        <v>203</v>
      </c>
      <c r="B9" s="105">
        <v>11000</v>
      </c>
      <c r="C9" s="9">
        <v>7000</v>
      </c>
      <c r="D9" s="9">
        <v>7000</v>
      </c>
      <c r="E9" s="13" t="s">
        <v>220</v>
      </c>
      <c r="F9" s="13" t="s">
        <v>220</v>
      </c>
      <c r="G9" s="9">
        <v>2000</v>
      </c>
      <c r="H9" s="9">
        <v>2000</v>
      </c>
      <c r="I9" s="13" t="s">
        <v>220</v>
      </c>
      <c r="J9" s="13" t="s">
        <v>220</v>
      </c>
      <c r="K9" s="13" t="s">
        <v>220</v>
      </c>
      <c r="L9" s="13" t="s">
        <v>220</v>
      </c>
    </row>
    <row r="10" spans="1:13" ht="12.45" customHeight="1">
      <c r="A10" s="140" t="s">
        <v>204</v>
      </c>
      <c r="B10" s="105">
        <v>29000</v>
      </c>
      <c r="C10" s="9">
        <v>20000</v>
      </c>
      <c r="D10" s="9">
        <v>18000</v>
      </c>
      <c r="E10" s="9">
        <v>1000</v>
      </c>
      <c r="F10" s="13" t="s">
        <v>191</v>
      </c>
      <c r="G10" s="9">
        <v>8000</v>
      </c>
      <c r="H10" s="9">
        <v>7000</v>
      </c>
      <c r="I10" s="13" t="s">
        <v>222</v>
      </c>
      <c r="J10" s="9">
        <v>1000</v>
      </c>
      <c r="K10" s="13" t="s">
        <v>222</v>
      </c>
      <c r="L10" s="13" t="s">
        <v>220</v>
      </c>
    </row>
    <row r="11" spans="1:13" ht="12.45" customHeight="1">
      <c r="A11" s="140" t="s">
        <v>205</v>
      </c>
      <c r="B11" s="105">
        <v>75000</v>
      </c>
      <c r="C11" s="9">
        <v>46000</v>
      </c>
      <c r="D11" s="9">
        <v>40000</v>
      </c>
      <c r="E11" s="9">
        <v>3000</v>
      </c>
      <c r="F11" s="9">
        <v>2000</v>
      </c>
      <c r="G11" s="9">
        <v>22000</v>
      </c>
      <c r="H11" s="9">
        <v>21000</v>
      </c>
      <c r="I11" s="13" t="s">
        <v>191</v>
      </c>
      <c r="J11" s="9">
        <v>7000</v>
      </c>
      <c r="K11" s="9">
        <v>6000</v>
      </c>
      <c r="L11" s="9">
        <v>2000</v>
      </c>
    </row>
    <row r="12" spans="1:13" ht="12.45" customHeight="1">
      <c r="A12" s="138" t="s">
        <v>206</v>
      </c>
      <c r="B12" s="105">
        <v>304000</v>
      </c>
      <c r="C12" s="9">
        <v>185000</v>
      </c>
      <c r="D12" s="9">
        <v>126000</v>
      </c>
      <c r="E12" s="9">
        <v>41000</v>
      </c>
      <c r="F12" s="9">
        <v>18000</v>
      </c>
      <c r="G12" s="9">
        <v>88000</v>
      </c>
      <c r="H12" s="9">
        <v>78000</v>
      </c>
      <c r="I12" s="9">
        <v>10000</v>
      </c>
      <c r="J12" s="9">
        <v>32000</v>
      </c>
      <c r="K12" s="9">
        <v>20000</v>
      </c>
      <c r="L12" s="9">
        <v>12000</v>
      </c>
    </row>
    <row r="13" spans="1:13" ht="12.45" customHeight="1">
      <c r="A13" s="139" t="s">
        <v>207</v>
      </c>
      <c r="B13" s="105">
        <v>275000</v>
      </c>
      <c r="C13" s="9">
        <v>174000</v>
      </c>
      <c r="D13" s="9">
        <v>118000</v>
      </c>
      <c r="E13" s="9">
        <v>38000</v>
      </c>
      <c r="F13" s="9">
        <v>18000</v>
      </c>
      <c r="G13" s="9">
        <v>69000</v>
      </c>
      <c r="H13" s="9">
        <v>62000</v>
      </c>
      <c r="I13" s="9">
        <v>7000</v>
      </c>
      <c r="J13" s="9">
        <v>31000</v>
      </c>
      <c r="K13" s="9">
        <v>19000</v>
      </c>
      <c r="L13" s="9">
        <v>12000</v>
      </c>
    </row>
    <row r="14" spans="1:13" ht="12.45" customHeight="1">
      <c r="A14" s="139" t="s">
        <v>208</v>
      </c>
      <c r="B14" s="105">
        <v>14000</v>
      </c>
      <c r="C14" s="13" t="s">
        <v>220</v>
      </c>
      <c r="D14" s="13" t="s">
        <v>220</v>
      </c>
      <c r="E14" s="13" t="s">
        <v>220</v>
      </c>
      <c r="F14" s="13" t="s">
        <v>220</v>
      </c>
      <c r="G14" s="9">
        <v>12000</v>
      </c>
      <c r="H14" s="9">
        <v>10000</v>
      </c>
      <c r="I14" s="9">
        <v>2000</v>
      </c>
      <c r="J14" s="13" t="s">
        <v>220</v>
      </c>
      <c r="K14" s="13" t="s">
        <v>220</v>
      </c>
      <c r="L14" s="13" t="s">
        <v>220</v>
      </c>
    </row>
    <row r="15" spans="1:13" ht="12.45" customHeight="1">
      <c r="A15" s="139" t="s">
        <v>209</v>
      </c>
      <c r="B15" s="105">
        <v>9000</v>
      </c>
      <c r="C15" s="9">
        <v>6000</v>
      </c>
      <c r="D15" s="9">
        <v>5000</v>
      </c>
      <c r="E15" s="13" t="s">
        <v>220</v>
      </c>
      <c r="F15" s="13" t="s">
        <v>220</v>
      </c>
      <c r="G15" s="9">
        <v>3000</v>
      </c>
      <c r="H15" s="9">
        <v>2000</v>
      </c>
      <c r="I15" s="13" t="s">
        <v>220</v>
      </c>
      <c r="J15" s="13" t="s">
        <v>220</v>
      </c>
      <c r="K15" s="13" t="s">
        <v>220</v>
      </c>
      <c r="L15" s="13" t="s">
        <v>220</v>
      </c>
    </row>
    <row r="16" spans="1:13" ht="12.45" customHeight="1">
      <c r="A16" s="139" t="s">
        <v>210</v>
      </c>
      <c r="B16" s="105">
        <v>7000</v>
      </c>
      <c r="C16" s="9">
        <v>3000</v>
      </c>
      <c r="D16" s="9">
        <v>3000</v>
      </c>
      <c r="E16" s="13" t="s">
        <v>220</v>
      </c>
      <c r="F16" s="13" t="s">
        <v>220</v>
      </c>
      <c r="G16" s="9">
        <v>3000</v>
      </c>
      <c r="H16" s="9">
        <v>3000</v>
      </c>
      <c r="I16" s="13" t="s">
        <v>220</v>
      </c>
      <c r="J16" s="13" t="s">
        <v>220</v>
      </c>
      <c r="K16" s="13" t="s">
        <v>220</v>
      </c>
      <c r="L16" s="13" t="s">
        <v>220</v>
      </c>
    </row>
    <row r="17" spans="1:13" ht="12.45" customHeight="1">
      <c r="A17" s="138" t="s">
        <v>211</v>
      </c>
      <c r="B17" s="105">
        <v>534000</v>
      </c>
      <c r="C17" s="9">
        <v>163000</v>
      </c>
      <c r="D17" s="9">
        <v>65000</v>
      </c>
      <c r="E17" s="9">
        <v>67000</v>
      </c>
      <c r="F17" s="9">
        <v>31000</v>
      </c>
      <c r="G17" s="9">
        <v>346000</v>
      </c>
      <c r="H17" s="9">
        <v>232000</v>
      </c>
      <c r="I17" s="9">
        <v>114000</v>
      </c>
      <c r="J17" s="9">
        <v>25000</v>
      </c>
      <c r="K17" s="9">
        <v>13000</v>
      </c>
      <c r="L17" s="9">
        <v>12000</v>
      </c>
    </row>
    <row r="18" spans="1:13" ht="12.45" customHeight="1">
      <c r="A18" s="139" t="s">
        <v>212</v>
      </c>
      <c r="B18" s="105">
        <v>56000</v>
      </c>
      <c r="C18" s="9">
        <v>25000</v>
      </c>
      <c r="D18" s="9">
        <v>13000</v>
      </c>
      <c r="E18" s="13" t="s">
        <v>220</v>
      </c>
      <c r="F18" s="9">
        <v>7000</v>
      </c>
      <c r="G18" s="9">
        <v>24000</v>
      </c>
      <c r="H18" s="9">
        <v>22000</v>
      </c>
      <c r="I18" s="13" t="s">
        <v>191</v>
      </c>
      <c r="J18" s="9">
        <v>7000</v>
      </c>
      <c r="K18" s="13" t="s">
        <v>191</v>
      </c>
      <c r="L18" s="13" t="s">
        <v>220</v>
      </c>
    </row>
    <row r="19" spans="1:13" ht="12.45" customHeight="1">
      <c r="A19" s="139" t="s">
        <v>213</v>
      </c>
      <c r="B19" s="105">
        <v>171000</v>
      </c>
      <c r="C19" s="9">
        <v>26000</v>
      </c>
      <c r="D19" s="9">
        <v>9000</v>
      </c>
      <c r="E19" s="9">
        <v>13000</v>
      </c>
      <c r="F19" s="13" t="s">
        <v>191</v>
      </c>
      <c r="G19" s="9">
        <v>141000</v>
      </c>
      <c r="H19" s="9">
        <v>63000</v>
      </c>
      <c r="I19" s="9">
        <v>78000</v>
      </c>
      <c r="J19" s="9">
        <v>5000</v>
      </c>
      <c r="K19" s="13" t="s">
        <v>191</v>
      </c>
      <c r="L19" s="9">
        <v>4000</v>
      </c>
    </row>
    <row r="20" spans="1:13" ht="12.45" customHeight="1">
      <c r="A20" s="139" t="s">
        <v>214</v>
      </c>
      <c r="B20" s="105">
        <v>83000</v>
      </c>
      <c r="C20" s="9">
        <v>42000</v>
      </c>
      <c r="D20" s="9">
        <v>6000</v>
      </c>
      <c r="E20" s="9">
        <v>32000</v>
      </c>
      <c r="F20" s="9">
        <v>4000</v>
      </c>
      <c r="G20" s="9">
        <v>37000</v>
      </c>
      <c r="H20" s="9">
        <v>31000</v>
      </c>
      <c r="I20" s="9">
        <v>6000</v>
      </c>
      <c r="J20" s="13" t="s">
        <v>191</v>
      </c>
      <c r="K20" s="13" t="s">
        <v>220</v>
      </c>
      <c r="L20" s="13" t="s">
        <v>220</v>
      </c>
    </row>
    <row r="21" spans="1:13" ht="12.45" customHeight="1">
      <c r="A21" s="139" t="s">
        <v>215</v>
      </c>
      <c r="B21" s="105">
        <v>4000</v>
      </c>
      <c r="C21" s="13" t="s">
        <v>220</v>
      </c>
      <c r="D21" s="13" t="s">
        <v>220</v>
      </c>
      <c r="E21" s="13" t="s">
        <v>220</v>
      </c>
      <c r="F21" s="13" t="s">
        <v>220</v>
      </c>
      <c r="G21" s="9">
        <v>3000</v>
      </c>
      <c r="H21" s="9">
        <v>3000</v>
      </c>
      <c r="I21" s="13" t="s">
        <v>220</v>
      </c>
      <c r="J21" s="13" t="s">
        <v>220</v>
      </c>
      <c r="K21" s="13" t="s">
        <v>220</v>
      </c>
      <c r="L21" s="13" t="s">
        <v>220</v>
      </c>
    </row>
    <row r="22" spans="1:13" ht="12.45" customHeight="1">
      <c r="A22" s="139" t="s">
        <v>216</v>
      </c>
      <c r="B22" s="105">
        <v>160000</v>
      </c>
      <c r="C22" s="9">
        <v>52000</v>
      </c>
      <c r="D22" s="9">
        <v>21000</v>
      </c>
      <c r="E22" s="9">
        <v>15000</v>
      </c>
      <c r="F22" s="9">
        <v>16000</v>
      </c>
      <c r="G22" s="9">
        <v>105000</v>
      </c>
      <c r="H22" s="9">
        <v>84000</v>
      </c>
      <c r="I22" s="9">
        <v>21000</v>
      </c>
      <c r="J22" s="13" t="s">
        <v>191</v>
      </c>
      <c r="K22" s="13" t="s">
        <v>191</v>
      </c>
      <c r="L22" s="13" t="s">
        <v>220</v>
      </c>
    </row>
    <row r="23" spans="1:13" ht="12.45" customHeight="1">
      <c r="A23" s="139" t="s">
        <v>217</v>
      </c>
      <c r="B23" s="105">
        <v>60000</v>
      </c>
      <c r="C23" s="9">
        <v>18000</v>
      </c>
      <c r="D23" s="9">
        <v>16000</v>
      </c>
      <c r="E23" s="9">
        <v>2000</v>
      </c>
      <c r="F23" s="13" t="s">
        <v>220</v>
      </c>
      <c r="G23" s="9">
        <v>36000</v>
      </c>
      <c r="H23" s="9">
        <v>29000</v>
      </c>
      <c r="I23" s="9">
        <v>7000</v>
      </c>
      <c r="J23" s="9">
        <v>6000</v>
      </c>
      <c r="K23" s="9">
        <v>3000</v>
      </c>
      <c r="L23" s="13" t="s">
        <v>191</v>
      </c>
    </row>
    <row r="24" spans="1:13" ht="12.45" customHeight="1">
      <c r="A24" s="111" t="s">
        <v>223</v>
      </c>
      <c r="B24" s="109">
        <v>3246000</v>
      </c>
      <c r="C24" s="104">
        <v>2459000</v>
      </c>
      <c r="D24" s="104">
        <v>1650000</v>
      </c>
      <c r="E24" s="104">
        <v>457000</v>
      </c>
      <c r="F24" s="104">
        <v>352000</v>
      </c>
      <c r="G24" s="104">
        <v>347000</v>
      </c>
      <c r="H24" s="104">
        <v>281000</v>
      </c>
      <c r="I24" s="104">
        <v>66000</v>
      </c>
      <c r="J24" s="104">
        <v>440000</v>
      </c>
      <c r="K24" s="104">
        <v>195000</v>
      </c>
      <c r="L24" s="104">
        <v>245000</v>
      </c>
    </row>
    <row r="25" spans="1:13" ht="12.45" customHeight="1">
      <c r="A25" s="112" t="s">
        <v>178</v>
      </c>
      <c r="B25" s="105">
        <v>49000</v>
      </c>
      <c r="C25" s="9">
        <v>27000</v>
      </c>
      <c r="D25" s="9">
        <v>14000</v>
      </c>
      <c r="E25" s="9">
        <v>7000</v>
      </c>
      <c r="F25" s="9">
        <v>6000</v>
      </c>
      <c r="G25" s="9">
        <v>17000</v>
      </c>
      <c r="H25" s="9">
        <v>9000</v>
      </c>
      <c r="I25" s="13" t="s">
        <v>191</v>
      </c>
      <c r="J25" s="9">
        <v>4000</v>
      </c>
      <c r="K25" s="9">
        <v>2000</v>
      </c>
      <c r="L25" s="9">
        <v>3000</v>
      </c>
    </row>
    <row r="26" spans="1:13" ht="12.45" customHeight="1">
      <c r="A26" s="112" t="s">
        <v>206</v>
      </c>
      <c r="B26" s="105">
        <v>1616000</v>
      </c>
      <c r="C26" s="9">
        <v>1293000</v>
      </c>
      <c r="D26" s="9">
        <v>807000</v>
      </c>
      <c r="E26" s="9">
        <v>336000</v>
      </c>
      <c r="F26" s="9">
        <v>150000</v>
      </c>
      <c r="G26" s="9">
        <v>241000</v>
      </c>
      <c r="H26" s="9">
        <v>230000</v>
      </c>
      <c r="I26" s="9">
        <v>11000</v>
      </c>
      <c r="J26" s="9">
        <v>82000</v>
      </c>
      <c r="K26" s="9">
        <v>53000</v>
      </c>
      <c r="L26" s="9">
        <v>29000</v>
      </c>
    </row>
    <row r="27" spans="1:13" ht="12.45" customHeight="1">
      <c r="A27" s="112" t="s">
        <v>211</v>
      </c>
      <c r="B27" s="110">
        <v>1582000</v>
      </c>
      <c r="C27" s="21">
        <v>1139000</v>
      </c>
      <c r="D27" s="21">
        <v>829000</v>
      </c>
      <c r="E27" s="21">
        <v>114000</v>
      </c>
      <c r="F27" s="21">
        <v>197000</v>
      </c>
      <c r="G27" s="21">
        <v>89000</v>
      </c>
      <c r="H27" s="21">
        <v>42000</v>
      </c>
      <c r="I27" s="21">
        <v>47000</v>
      </c>
      <c r="J27" s="21">
        <v>354000</v>
      </c>
      <c r="K27" s="21">
        <v>140000</v>
      </c>
      <c r="L27" s="21">
        <v>213000</v>
      </c>
    </row>
    <row r="28" spans="1:13" ht="11.25" customHeight="1">
      <c r="A28" s="344" t="s">
        <v>224</v>
      </c>
      <c r="B28" s="344"/>
      <c r="C28" s="344"/>
      <c r="D28" s="344"/>
      <c r="E28" s="344"/>
      <c r="F28" s="344"/>
      <c r="G28" s="344"/>
      <c r="H28" s="344"/>
      <c r="I28" s="344"/>
      <c r="J28" s="344"/>
      <c r="K28" s="344"/>
      <c r="L28" s="344"/>
      <c r="M28" s="344"/>
    </row>
    <row r="29" spans="1:13" ht="93.75" customHeight="1">
      <c r="A29" s="321" t="s">
        <v>262</v>
      </c>
      <c r="B29" s="321"/>
      <c r="C29" s="321"/>
      <c r="D29" s="321"/>
      <c r="E29" s="321"/>
      <c r="F29" s="321"/>
      <c r="G29" s="321"/>
      <c r="H29" s="321"/>
      <c r="I29" s="321"/>
      <c r="J29" s="321"/>
      <c r="K29" s="321"/>
      <c r="L29" s="321"/>
      <c r="M29" s="321"/>
    </row>
    <row r="30" spans="1:13" ht="1.95" customHeight="1"/>
  </sheetData>
  <mergeCells count="8">
    <mergeCell ref="A28:M28"/>
    <mergeCell ref="A29:M29"/>
    <mergeCell ref="A1:M1"/>
    <mergeCell ref="A2:A3"/>
    <mergeCell ref="B2:B3"/>
    <mergeCell ref="C2:F2"/>
    <mergeCell ref="G2:I2"/>
    <mergeCell ref="J2:L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249977111117893"/>
  </sheetPr>
  <dimension ref="A1:Q33"/>
  <sheetViews>
    <sheetView workbookViewId="0">
      <selection sqref="A1:Q1"/>
    </sheetView>
  </sheetViews>
  <sheetFormatPr defaultRowHeight="13.2"/>
  <cols>
    <col min="1" max="1" width="64.109375" customWidth="1"/>
    <col min="2" max="2" width="12.109375" customWidth="1"/>
    <col min="3" max="3" width="20.6640625" customWidth="1"/>
    <col min="4" max="4" width="36.44140625" customWidth="1"/>
    <col min="5" max="5" width="12.109375" customWidth="1"/>
    <col min="6" max="6" width="29.109375" customWidth="1"/>
    <col min="7" max="7" width="44.6640625" customWidth="1"/>
    <col min="8" max="8" width="12.109375" customWidth="1"/>
    <col min="9" max="9" width="22" customWidth="1"/>
    <col min="10" max="10" width="19.44140625" customWidth="1"/>
    <col min="11" max="11" width="16.44140625" customWidth="1"/>
    <col min="12" max="13" width="10.44140625" customWidth="1"/>
    <col min="14" max="14" width="10" customWidth="1"/>
    <col min="15" max="15" width="10.44140625" customWidth="1"/>
    <col min="16" max="16" width="11.44140625" customWidth="1"/>
    <col min="17" max="17" width="2.109375" customWidth="1"/>
  </cols>
  <sheetData>
    <row r="1" spans="1:17" ht="42.75" customHeight="1">
      <c r="A1" s="321" t="s">
        <v>263</v>
      </c>
      <c r="B1" s="321"/>
      <c r="C1" s="321"/>
      <c r="D1" s="321"/>
      <c r="E1" s="321"/>
      <c r="F1" s="321"/>
      <c r="G1" s="321"/>
      <c r="H1" s="321"/>
      <c r="I1" s="321"/>
      <c r="J1" s="321"/>
      <c r="K1" s="321"/>
      <c r="L1" s="321"/>
      <c r="M1" s="321"/>
      <c r="N1" s="321"/>
      <c r="O1" s="321"/>
      <c r="P1" s="321"/>
      <c r="Q1" s="321"/>
    </row>
    <row r="2" spans="1:17" ht="13.95" customHeight="1">
      <c r="A2" s="339" t="s">
        <v>264</v>
      </c>
      <c r="B2" s="347" t="s">
        <v>167</v>
      </c>
      <c r="C2" s="349" t="s">
        <v>265</v>
      </c>
      <c r="D2" s="330" t="s">
        <v>266</v>
      </c>
      <c r="E2" s="331"/>
      <c r="F2" s="331"/>
      <c r="G2" s="331"/>
      <c r="H2" s="331"/>
      <c r="I2" s="332"/>
      <c r="J2" s="349" t="s">
        <v>267</v>
      </c>
      <c r="K2" s="349" t="s">
        <v>268</v>
      </c>
      <c r="L2" s="330" t="s">
        <v>269</v>
      </c>
      <c r="M2" s="331"/>
      <c r="N2" s="331"/>
      <c r="O2" s="331"/>
      <c r="P2" s="332"/>
    </row>
    <row r="3" spans="1:17" ht="13.95" customHeight="1">
      <c r="A3" s="341"/>
      <c r="B3" s="348"/>
      <c r="C3" s="350"/>
      <c r="D3" s="41" t="s">
        <v>270</v>
      </c>
      <c r="E3" s="41" t="s">
        <v>271</v>
      </c>
      <c r="F3" s="41" t="s">
        <v>272</v>
      </c>
      <c r="G3" s="41" t="s">
        <v>273</v>
      </c>
      <c r="H3" s="41" t="s">
        <v>274</v>
      </c>
      <c r="I3" s="5" t="s">
        <v>275</v>
      </c>
      <c r="J3" s="350"/>
      <c r="K3" s="350"/>
      <c r="L3" s="5" t="s">
        <v>276</v>
      </c>
      <c r="M3" s="5" t="s">
        <v>277</v>
      </c>
      <c r="N3" s="5" t="s">
        <v>278</v>
      </c>
      <c r="O3" s="5" t="s">
        <v>279</v>
      </c>
      <c r="P3" s="5" t="s">
        <v>280</v>
      </c>
    </row>
    <row r="4" spans="1:17" ht="12.45" customHeight="1">
      <c r="A4" s="6" t="s">
        <v>281</v>
      </c>
      <c r="B4" s="7">
        <v>7894000</v>
      </c>
      <c r="C4" s="7">
        <v>692000</v>
      </c>
      <c r="D4" s="7">
        <v>10000</v>
      </c>
      <c r="E4" s="7">
        <v>1665000</v>
      </c>
      <c r="F4" s="7">
        <v>399000</v>
      </c>
      <c r="G4" s="7">
        <v>16000</v>
      </c>
      <c r="H4" s="7">
        <v>4943000</v>
      </c>
      <c r="I4" s="7">
        <v>169000</v>
      </c>
      <c r="J4" s="7">
        <v>7006000</v>
      </c>
      <c r="K4" s="7">
        <v>888000</v>
      </c>
      <c r="L4" s="7">
        <v>290000</v>
      </c>
      <c r="M4" s="7">
        <v>332000</v>
      </c>
      <c r="N4" s="7">
        <v>82000</v>
      </c>
      <c r="O4" s="7">
        <v>100000</v>
      </c>
      <c r="P4" s="7">
        <v>326000</v>
      </c>
    </row>
    <row r="5" spans="1:17" ht="12.45" customHeight="1">
      <c r="A5" s="8" t="s">
        <v>178</v>
      </c>
      <c r="B5" s="9">
        <v>6059000</v>
      </c>
      <c r="C5" s="9">
        <v>539000</v>
      </c>
      <c r="D5" s="9">
        <v>7000</v>
      </c>
      <c r="E5" s="9">
        <v>1409000</v>
      </c>
      <c r="F5" s="9">
        <v>275000</v>
      </c>
      <c r="G5" s="9">
        <v>13000</v>
      </c>
      <c r="H5" s="9">
        <v>3683000</v>
      </c>
      <c r="I5" s="9">
        <v>131000</v>
      </c>
      <c r="J5" s="9">
        <v>5413000</v>
      </c>
      <c r="K5" s="9">
        <v>645000</v>
      </c>
      <c r="L5" s="9">
        <v>217000</v>
      </c>
      <c r="M5" s="9">
        <v>249000</v>
      </c>
      <c r="N5" s="9">
        <v>57000</v>
      </c>
      <c r="O5" s="9">
        <v>69000</v>
      </c>
      <c r="P5" s="9">
        <v>242000</v>
      </c>
    </row>
    <row r="6" spans="1:17" ht="12.45" customHeight="1">
      <c r="A6" s="10" t="s">
        <v>179</v>
      </c>
      <c r="B6" s="9">
        <v>768000</v>
      </c>
      <c r="C6" s="9">
        <v>71000</v>
      </c>
      <c r="D6" s="9">
        <v>2000</v>
      </c>
      <c r="E6" s="9">
        <v>132000</v>
      </c>
      <c r="F6" s="9">
        <v>31000</v>
      </c>
      <c r="G6" s="13" t="s">
        <v>191</v>
      </c>
      <c r="H6" s="9">
        <v>514000</v>
      </c>
      <c r="I6" s="9">
        <v>16000</v>
      </c>
      <c r="J6" s="9">
        <v>681000</v>
      </c>
      <c r="K6" s="9">
        <v>87000</v>
      </c>
      <c r="L6" s="9">
        <v>27000</v>
      </c>
      <c r="M6" s="9">
        <v>26000</v>
      </c>
      <c r="N6" s="9">
        <v>8000</v>
      </c>
      <c r="O6" s="9">
        <v>11000</v>
      </c>
      <c r="P6" s="9">
        <v>36000</v>
      </c>
    </row>
    <row r="7" spans="1:17" ht="12.45" customHeight="1">
      <c r="A7" s="10" t="s">
        <v>183</v>
      </c>
      <c r="B7" s="9">
        <v>1795000</v>
      </c>
      <c r="C7" s="9">
        <v>135000</v>
      </c>
      <c r="D7" s="9">
        <v>2000</v>
      </c>
      <c r="E7" s="9">
        <v>539000</v>
      </c>
      <c r="F7" s="9">
        <v>110000</v>
      </c>
      <c r="G7" s="9">
        <v>3000</v>
      </c>
      <c r="H7" s="9">
        <v>960000</v>
      </c>
      <c r="I7" s="9">
        <v>46000</v>
      </c>
      <c r="J7" s="9">
        <v>1600000</v>
      </c>
      <c r="K7" s="9">
        <v>195000</v>
      </c>
      <c r="L7" s="9">
        <v>56000</v>
      </c>
      <c r="M7" s="9">
        <v>80000</v>
      </c>
      <c r="N7" s="9">
        <v>20000</v>
      </c>
      <c r="O7" s="9">
        <v>24000</v>
      </c>
      <c r="P7" s="9">
        <v>83000</v>
      </c>
    </row>
    <row r="8" spans="1:17" ht="12.45" customHeight="1">
      <c r="A8" s="10" t="s">
        <v>186</v>
      </c>
      <c r="B8" s="9">
        <v>461000</v>
      </c>
      <c r="C8" s="9">
        <v>35000</v>
      </c>
      <c r="D8" s="13" t="s">
        <v>191</v>
      </c>
      <c r="E8" s="9">
        <v>88000</v>
      </c>
      <c r="F8" s="9">
        <v>10000</v>
      </c>
      <c r="G8" s="13" t="s">
        <v>220</v>
      </c>
      <c r="H8" s="9">
        <v>316000</v>
      </c>
      <c r="I8" s="9">
        <v>11000</v>
      </c>
      <c r="J8" s="9">
        <v>393000</v>
      </c>
      <c r="K8" s="9">
        <v>68000</v>
      </c>
      <c r="L8" s="9">
        <v>21000</v>
      </c>
      <c r="M8" s="9">
        <v>29000</v>
      </c>
      <c r="N8" s="9">
        <v>2000</v>
      </c>
      <c r="O8" s="13" t="s">
        <v>191</v>
      </c>
      <c r="P8" s="9">
        <v>22000</v>
      </c>
    </row>
    <row r="9" spans="1:17" ht="12.45" customHeight="1">
      <c r="A9" s="10" t="s">
        <v>192</v>
      </c>
      <c r="B9" s="9">
        <v>758000</v>
      </c>
      <c r="C9" s="9">
        <v>85000</v>
      </c>
      <c r="D9" s="9">
        <v>1000</v>
      </c>
      <c r="E9" s="9">
        <v>59000</v>
      </c>
      <c r="F9" s="9">
        <v>43000</v>
      </c>
      <c r="G9" s="9">
        <v>2000</v>
      </c>
      <c r="H9" s="9">
        <v>553000</v>
      </c>
      <c r="I9" s="9">
        <v>17000</v>
      </c>
      <c r="J9" s="9">
        <v>663000</v>
      </c>
      <c r="K9" s="9">
        <v>96000</v>
      </c>
      <c r="L9" s="9">
        <v>31000</v>
      </c>
      <c r="M9" s="9">
        <v>27000</v>
      </c>
      <c r="N9" s="9">
        <v>12000</v>
      </c>
      <c r="O9" s="9">
        <v>10000</v>
      </c>
      <c r="P9" s="9">
        <v>39000</v>
      </c>
    </row>
    <row r="10" spans="1:17" ht="12.45" customHeight="1">
      <c r="A10" s="10" t="s">
        <v>198</v>
      </c>
      <c r="B10" s="9">
        <v>2277000</v>
      </c>
      <c r="C10" s="9">
        <v>214000</v>
      </c>
      <c r="D10" s="9">
        <v>1000</v>
      </c>
      <c r="E10" s="9">
        <v>592000</v>
      </c>
      <c r="F10" s="9">
        <v>81000</v>
      </c>
      <c r="G10" s="9">
        <v>6000</v>
      </c>
      <c r="H10" s="9">
        <v>1341000</v>
      </c>
      <c r="I10" s="9">
        <v>42000</v>
      </c>
      <c r="J10" s="9">
        <v>2077000</v>
      </c>
      <c r="K10" s="9">
        <v>200000</v>
      </c>
      <c r="L10" s="9">
        <v>82000</v>
      </c>
      <c r="M10" s="9">
        <v>86000</v>
      </c>
      <c r="N10" s="9">
        <v>14000</v>
      </c>
      <c r="O10" s="9">
        <v>19000</v>
      </c>
      <c r="P10" s="9">
        <v>61000</v>
      </c>
    </row>
    <row r="11" spans="1:17" ht="12.45" customHeight="1">
      <c r="A11" s="8" t="s">
        <v>206</v>
      </c>
      <c r="B11" s="9">
        <v>439000</v>
      </c>
      <c r="C11" s="9">
        <v>35000</v>
      </c>
      <c r="D11" s="13" t="s">
        <v>220</v>
      </c>
      <c r="E11" s="9">
        <v>103000</v>
      </c>
      <c r="F11" s="9">
        <v>30000</v>
      </c>
      <c r="G11" s="13" t="s">
        <v>191</v>
      </c>
      <c r="H11" s="9">
        <v>262000</v>
      </c>
      <c r="I11" s="9">
        <v>5000</v>
      </c>
      <c r="J11" s="9">
        <v>391000</v>
      </c>
      <c r="K11" s="9">
        <v>48000</v>
      </c>
      <c r="L11" s="9">
        <v>15000</v>
      </c>
      <c r="M11" s="9">
        <v>19000</v>
      </c>
      <c r="N11" s="9">
        <v>3000</v>
      </c>
      <c r="O11" s="9">
        <v>4000</v>
      </c>
      <c r="P11" s="9">
        <v>17000</v>
      </c>
    </row>
    <row r="12" spans="1:17" ht="12.45" customHeight="1">
      <c r="A12" s="8" t="s">
        <v>211</v>
      </c>
      <c r="B12" s="9">
        <v>1396000</v>
      </c>
      <c r="C12" s="9">
        <v>117000</v>
      </c>
      <c r="D12" s="13" t="s">
        <v>191</v>
      </c>
      <c r="E12" s="9">
        <v>153000</v>
      </c>
      <c r="F12" s="9">
        <v>93000</v>
      </c>
      <c r="G12" s="9">
        <v>2000</v>
      </c>
      <c r="H12" s="9">
        <v>998000</v>
      </c>
      <c r="I12" s="9">
        <v>32000</v>
      </c>
      <c r="J12" s="9">
        <v>1201000</v>
      </c>
      <c r="K12" s="9">
        <v>195000</v>
      </c>
      <c r="L12" s="9">
        <v>58000</v>
      </c>
      <c r="M12" s="9">
        <v>64000</v>
      </c>
      <c r="N12" s="9">
        <v>22000</v>
      </c>
      <c r="O12" s="9">
        <v>27000</v>
      </c>
      <c r="P12" s="9">
        <v>67000</v>
      </c>
    </row>
    <row r="13" spans="1:17" ht="12.45" customHeight="1">
      <c r="A13" s="8" t="s">
        <v>282</v>
      </c>
      <c r="B13" s="9">
        <v>2300000</v>
      </c>
      <c r="C13" s="9">
        <v>206000</v>
      </c>
      <c r="D13" s="9">
        <v>3000</v>
      </c>
      <c r="E13" s="9">
        <v>511000</v>
      </c>
      <c r="F13" s="9">
        <v>144000</v>
      </c>
      <c r="G13" s="9">
        <v>5000</v>
      </c>
      <c r="H13" s="9">
        <v>1386000</v>
      </c>
      <c r="I13" s="9">
        <v>45000</v>
      </c>
      <c r="J13" s="9">
        <v>2049000</v>
      </c>
      <c r="K13" s="9">
        <v>251000</v>
      </c>
      <c r="L13" s="9">
        <v>61000</v>
      </c>
      <c r="M13" s="9">
        <v>98000</v>
      </c>
      <c r="N13" s="9">
        <v>23000</v>
      </c>
      <c r="O13" s="9">
        <v>35000</v>
      </c>
      <c r="P13" s="9">
        <v>95000</v>
      </c>
    </row>
    <row r="14" spans="1:17" ht="12.45" customHeight="1">
      <c r="A14" s="10" t="s">
        <v>178</v>
      </c>
      <c r="B14" s="9">
        <v>1631000</v>
      </c>
      <c r="C14" s="9">
        <v>154000</v>
      </c>
      <c r="D14" s="9">
        <v>3000</v>
      </c>
      <c r="E14" s="9">
        <v>429000</v>
      </c>
      <c r="F14" s="9">
        <v>79000</v>
      </c>
      <c r="G14" s="9">
        <v>4000</v>
      </c>
      <c r="H14" s="9">
        <v>928000</v>
      </c>
      <c r="I14" s="9">
        <v>34000</v>
      </c>
      <c r="J14" s="9">
        <v>1465000</v>
      </c>
      <c r="K14" s="9">
        <v>166000</v>
      </c>
      <c r="L14" s="9">
        <v>41000</v>
      </c>
      <c r="M14" s="9">
        <v>66000</v>
      </c>
      <c r="N14" s="9">
        <v>12000</v>
      </c>
      <c r="O14" s="9">
        <v>20000</v>
      </c>
      <c r="P14" s="9">
        <v>64000</v>
      </c>
    </row>
    <row r="15" spans="1:17" ht="12.45" customHeight="1">
      <c r="A15" s="47" t="s">
        <v>179</v>
      </c>
      <c r="B15" s="9">
        <v>352000</v>
      </c>
      <c r="C15" s="9">
        <v>32000</v>
      </c>
      <c r="D15" s="9">
        <v>2000</v>
      </c>
      <c r="E15" s="9">
        <v>69000</v>
      </c>
      <c r="F15" s="9">
        <v>16000</v>
      </c>
      <c r="G15" s="13" t="s">
        <v>191</v>
      </c>
      <c r="H15" s="9">
        <v>224000</v>
      </c>
      <c r="I15" s="9">
        <v>9000</v>
      </c>
      <c r="J15" s="9">
        <v>315000</v>
      </c>
      <c r="K15" s="9">
        <v>37000</v>
      </c>
      <c r="L15" s="9">
        <v>12000</v>
      </c>
      <c r="M15" s="9">
        <v>11000</v>
      </c>
      <c r="N15" s="9">
        <v>4000</v>
      </c>
      <c r="O15" s="9">
        <v>3000</v>
      </c>
      <c r="P15" s="9">
        <v>13000</v>
      </c>
    </row>
    <row r="16" spans="1:17" ht="12.45" customHeight="1">
      <c r="A16" s="12" t="s">
        <v>183</v>
      </c>
      <c r="B16" s="9">
        <v>391000</v>
      </c>
      <c r="C16" s="9">
        <v>28000</v>
      </c>
      <c r="D16" s="13" t="s">
        <v>220</v>
      </c>
      <c r="E16" s="9">
        <v>169000</v>
      </c>
      <c r="F16" s="9">
        <v>24000</v>
      </c>
      <c r="G16" s="13" t="s">
        <v>220</v>
      </c>
      <c r="H16" s="9">
        <v>164000</v>
      </c>
      <c r="I16" s="9">
        <v>5000</v>
      </c>
      <c r="J16" s="9">
        <v>356000</v>
      </c>
      <c r="K16" s="9">
        <v>35000</v>
      </c>
      <c r="L16" s="9">
        <v>6000</v>
      </c>
      <c r="M16" s="9">
        <v>13000</v>
      </c>
      <c r="N16" s="13" t="s">
        <v>191</v>
      </c>
      <c r="O16" s="9">
        <v>4000</v>
      </c>
      <c r="P16" s="9">
        <v>17000</v>
      </c>
    </row>
    <row r="17" spans="1:17" ht="12.45" customHeight="1">
      <c r="A17" s="12" t="s">
        <v>186</v>
      </c>
      <c r="B17" s="9">
        <v>131000</v>
      </c>
      <c r="C17" s="9">
        <v>10000</v>
      </c>
      <c r="D17" s="13" t="s">
        <v>220</v>
      </c>
      <c r="E17" s="9">
        <v>28000</v>
      </c>
      <c r="F17" s="9">
        <v>2000</v>
      </c>
      <c r="G17" s="13" t="s">
        <v>220</v>
      </c>
      <c r="H17" s="9">
        <v>87000</v>
      </c>
      <c r="I17" s="9">
        <v>3000</v>
      </c>
      <c r="J17" s="9">
        <v>115000</v>
      </c>
      <c r="K17" s="9">
        <v>16000</v>
      </c>
      <c r="L17" s="9">
        <v>2000</v>
      </c>
      <c r="M17" s="9">
        <v>6000</v>
      </c>
      <c r="N17" s="13" t="s">
        <v>220</v>
      </c>
      <c r="O17" s="13" t="s">
        <v>191</v>
      </c>
      <c r="P17" s="9">
        <v>9000</v>
      </c>
    </row>
    <row r="18" spans="1:17" ht="12.45" customHeight="1">
      <c r="A18" s="12" t="s">
        <v>192</v>
      </c>
      <c r="B18" s="9">
        <v>391000</v>
      </c>
      <c r="C18" s="9">
        <v>44000</v>
      </c>
      <c r="D18" s="9">
        <v>1000</v>
      </c>
      <c r="E18" s="9">
        <v>36000</v>
      </c>
      <c r="F18" s="9">
        <v>24000</v>
      </c>
      <c r="G18" s="13" t="s">
        <v>220</v>
      </c>
      <c r="H18" s="9">
        <v>275000</v>
      </c>
      <c r="I18" s="9">
        <v>10000</v>
      </c>
      <c r="J18" s="9">
        <v>346000</v>
      </c>
      <c r="K18" s="9">
        <v>45000</v>
      </c>
      <c r="L18" s="9">
        <v>14000</v>
      </c>
      <c r="M18" s="9">
        <v>14000</v>
      </c>
      <c r="N18" s="9">
        <v>6000</v>
      </c>
      <c r="O18" s="9">
        <v>7000</v>
      </c>
      <c r="P18" s="9">
        <v>16000</v>
      </c>
    </row>
    <row r="19" spans="1:17" ht="12.45" customHeight="1">
      <c r="A19" s="12" t="s">
        <v>198</v>
      </c>
      <c r="B19" s="9">
        <v>366000</v>
      </c>
      <c r="C19" s="9">
        <v>41000</v>
      </c>
      <c r="D19" s="13" t="s">
        <v>220</v>
      </c>
      <c r="E19" s="9">
        <v>126000</v>
      </c>
      <c r="F19" s="9">
        <v>12000</v>
      </c>
      <c r="G19" s="13" t="s">
        <v>220</v>
      </c>
      <c r="H19" s="9">
        <v>178000</v>
      </c>
      <c r="I19" s="9">
        <v>7000</v>
      </c>
      <c r="J19" s="9">
        <v>333000</v>
      </c>
      <c r="K19" s="9">
        <v>33000</v>
      </c>
      <c r="L19" s="9">
        <v>7000</v>
      </c>
      <c r="M19" s="9">
        <v>20000</v>
      </c>
      <c r="N19" s="13" t="s">
        <v>222</v>
      </c>
      <c r="O19" s="9">
        <v>4000</v>
      </c>
      <c r="P19" s="9">
        <v>9000</v>
      </c>
    </row>
    <row r="20" spans="1:17" ht="12.45" customHeight="1">
      <c r="A20" s="10" t="s">
        <v>206</v>
      </c>
      <c r="B20" s="9">
        <v>164000</v>
      </c>
      <c r="C20" s="9">
        <v>14000</v>
      </c>
      <c r="D20" s="13" t="s">
        <v>220</v>
      </c>
      <c r="E20" s="9">
        <v>32000</v>
      </c>
      <c r="F20" s="9">
        <v>19000</v>
      </c>
      <c r="G20" s="13" t="s">
        <v>220</v>
      </c>
      <c r="H20" s="9">
        <v>97000</v>
      </c>
      <c r="I20" s="9">
        <v>3000</v>
      </c>
      <c r="J20" s="9">
        <v>153000</v>
      </c>
      <c r="K20" s="9">
        <v>11000</v>
      </c>
      <c r="L20" s="9">
        <v>2000</v>
      </c>
      <c r="M20" s="9">
        <v>5000</v>
      </c>
      <c r="N20" s="13" t="s">
        <v>191</v>
      </c>
      <c r="O20" s="13" t="s">
        <v>191</v>
      </c>
      <c r="P20" s="9">
        <v>5000</v>
      </c>
    </row>
    <row r="21" spans="1:17" ht="12.45" customHeight="1">
      <c r="A21" s="10" t="s">
        <v>211</v>
      </c>
      <c r="B21" s="9">
        <v>505000</v>
      </c>
      <c r="C21" s="9">
        <v>39000</v>
      </c>
      <c r="D21" s="13" t="s">
        <v>220</v>
      </c>
      <c r="E21" s="9">
        <v>50000</v>
      </c>
      <c r="F21" s="9">
        <v>46000</v>
      </c>
      <c r="G21" s="13" t="s">
        <v>220</v>
      </c>
      <c r="H21" s="9">
        <v>361000</v>
      </c>
      <c r="I21" s="9">
        <v>9000</v>
      </c>
      <c r="J21" s="9">
        <v>431000</v>
      </c>
      <c r="K21" s="9">
        <v>75000</v>
      </c>
      <c r="L21" s="9">
        <v>18000</v>
      </c>
      <c r="M21" s="9">
        <v>27000</v>
      </c>
      <c r="N21" s="13" t="s">
        <v>191</v>
      </c>
      <c r="O21" s="13" t="s">
        <v>191</v>
      </c>
      <c r="P21" s="9">
        <v>26000</v>
      </c>
    </row>
    <row r="22" spans="1:17" ht="12.45" customHeight="1">
      <c r="A22" s="8" t="s">
        <v>283</v>
      </c>
      <c r="B22" s="9">
        <v>5594000</v>
      </c>
      <c r="C22" s="9">
        <v>485000</v>
      </c>
      <c r="D22" s="9">
        <v>7000</v>
      </c>
      <c r="E22" s="9">
        <v>1154000</v>
      </c>
      <c r="F22" s="9">
        <v>255000</v>
      </c>
      <c r="G22" s="9">
        <v>11000</v>
      </c>
      <c r="H22" s="9">
        <v>3557000</v>
      </c>
      <c r="I22" s="9">
        <v>124000</v>
      </c>
      <c r="J22" s="9">
        <v>4957000</v>
      </c>
      <c r="K22" s="9">
        <v>637000</v>
      </c>
      <c r="L22" s="9">
        <v>228000</v>
      </c>
      <c r="M22" s="9">
        <v>234000</v>
      </c>
      <c r="N22" s="9">
        <v>59000</v>
      </c>
      <c r="O22" s="9">
        <v>65000</v>
      </c>
      <c r="P22" s="9">
        <v>232000</v>
      </c>
    </row>
    <row r="23" spans="1:17" ht="12.45" customHeight="1">
      <c r="A23" s="10" t="s">
        <v>178</v>
      </c>
      <c r="B23" s="9">
        <v>4427000</v>
      </c>
      <c r="C23" s="9">
        <v>386000</v>
      </c>
      <c r="D23" s="9">
        <v>4000</v>
      </c>
      <c r="E23" s="9">
        <v>980000</v>
      </c>
      <c r="F23" s="9">
        <v>196000</v>
      </c>
      <c r="G23" s="9">
        <v>10000</v>
      </c>
      <c r="H23" s="9">
        <v>2755000</v>
      </c>
      <c r="I23" s="9">
        <v>98000</v>
      </c>
      <c r="J23" s="9">
        <v>3948000</v>
      </c>
      <c r="K23" s="9">
        <v>479000</v>
      </c>
      <c r="L23" s="9">
        <v>176000</v>
      </c>
      <c r="M23" s="9">
        <v>184000</v>
      </c>
      <c r="N23" s="9">
        <v>44000</v>
      </c>
      <c r="O23" s="9">
        <v>49000</v>
      </c>
      <c r="P23" s="9">
        <v>177000</v>
      </c>
    </row>
    <row r="24" spans="1:17" ht="12.45" customHeight="1">
      <c r="A24" s="47" t="s">
        <v>179</v>
      </c>
      <c r="B24" s="9">
        <v>416000</v>
      </c>
      <c r="C24" s="9">
        <v>39000</v>
      </c>
      <c r="D24" s="13" t="s">
        <v>222</v>
      </c>
      <c r="E24" s="9">
        <v>63000</v>
      </c>
      <c r="F24" s="9">
        <v>15000</v>
      </c>
      <c r="G24" s="13" t="s">
        <v>220</v>
      </c>
      <c r="H24" s="9">
        <v>291000</v>
      </c>
      <c r="I24" s="9">
        <v>7000</v>
      </c>
      <c r="J24" s="9">
        <v>366000</v>
      </c>
      <c r="K24" s="9">
        <v>50000</v>
      </c>
      <c r="L24" s="9">
        <v>14000</v>
      </c>
      <c r="M24" s="9">
        <v>15000</v>
      </c>
      <c r="N24" s="9">
        <v>5000</v>
      </c>
      <c r="O24" s="9">
        <v>9000</v>
      </c>
      <c r="P24" s="9">
        <v>24000</v>
      </c>
    </row>
    <row r="25" spans="1:17" ht="12.45" customHeight="1">
      <c r="A25" s="12" t="s">
        <v>183</v>
      </c>
      <c r="B25" s="9">
        <v>1404000</v>
      </c>
      <c r="C25" s="9">
        <v>107000</v>
      </c>
      <c r="D25" s="13" t="s">
        <v>191</v>
      </c>
      <c r="E25" s="9">
        <v>370000</v>
      </c>
      <c r="F25" s="9">
        <v>86000</v>
      </c>
      <c r="G25" s="13" t="s">
        <v>191</v>
      </c>
      <c r="H25" s="9">
        <v>796000</v>
      </c>
      <c r="I25" s="9">
        <v>41000</v>
      </c>
      <c r="J25" s="9">
        <v>1243000</v>
      </c>
      <c r="K25" s="9">
        <v>160000</v>
      </c>
      <c r="L25" s="9">
        <v>50000</v>
      </c>
      <c r="M25" s="9">
        <v>67000</v>
      </c>
      <c r="N25" s="9">
        <v>18000</v>
      </c>
      <c r="O25" s="9">
        <v>20000</v>
      </c>
      <c r="P25" s="9">
        <v>65000</v>
      </c>
    </row>
    <row r="26" spans="1:17" ht="12.45" customHeight="1">
      <c r="A26" s="12" t="s">
        <v>186</v>
      </c>
      <c r="B26" s="9">
        <v>330000</v>
      </c>
      <c r="C26" s="9">
        <v>26000</v>
      </c>
      <c r="D26" s="13" t="s">
        <v>220</v>
      </c>
      <c r="E26" s="9">
        <v>60000</v>
      </c>
      <c r="F26" s="9">
        <v>8000</v>
      </c>
      <c r="G26" s="13" t="s">
        <v>220</v>
      </c>
      <c r="H26" s="9">
        <v>229000</v>
      </c>
      <c r="I26" s="9">
        <v>8000</v>
      </c>
      <c r="J26" s="9">
        <v>278000</v>
      </c>
      <c r="K26" s="9">
        <v>52000</v>
      </c>
      <c r="L26" s="9">
        <v>19000</v>
      </c>
      <c r="M26" s="9">
        <v>23000</v>
      </c>
      <c r="N26" s="9">
        <v>2000</v>
      </c>
      <c r="O26" s="9">
        <v>1000</v>
      </c>
      <c r="P26" s="9">
        <v>13000</v>
      </c>
    </row>
    <row r="27" spans="1:17" ht="12.45" customHeight="1">
      <c r="A27" s="12" t="s">
        <v>192</v>
      </c>
      <c r="B27" s="9">
        <v>367000</v>
      </c>
      <c r="C27" s="9">
        <v>41000</v>
      </c>
      <c r="D27" s="13" t="s">
        <v>191</v>
      </c>
      <c r="E27" s="9">
        <v>22000</v>
      </c>
      <c r="F27" s="9">
        <v>18000</v>
      </c>
      <c r="G27" s="13" t="s">
        <v>191</v>
      </c>
      <c r="H27" s="9">
        <v>277000</v>
      </c>
      <c r="I27" s="9">
        <v>7000</v>
      </c>
      <c r="J27" s="9">
        <v>317000</v>
      </c>
      <c r="K27" s="9">
        <v>51000</v>
      </c>
      <c r="L27" s="9">
        <v>17000</v>
      </c>
      <c r="M27" s="9">
        <v>13000</v>
      </c>
      <c r="N27" s="9">
        <v>6000</v>
      </c>
      <c r="O27" s="9">
        <v>3000</v>
      </c>
      <c r="P27" s="9">
        <v>23000</v>
      </c>
    </row>
    <row r="28" spans="1:17" ht="12.45" customHeight="1">
      <c r="A28" s="12" t="s">
        <v>198</v>
      </c>
      <c r="B28" s="9">
        <v>1911000</v>
      </c>
      <c r="C28" s="9">
        <v>173000</v>
      </c>
      <c r="D28" s="9">
        <v>1000</v>
      </c>
      <c r="E28" s="9">
        <v>465000</v>
      </c>
      <c r="F28" s="9">
        <v>69000</v>
      </c>
      <c r="G28" s="9">
        <v>5000</v>
      </c>
      <c r="H28" s="9">
        <v>1162000</v>
      </c>
      <c r="I28" s="9">
        <v>35000</v>
      </c>
      <c r="J28" s="9">
        <v>1744000</v>
      </c>
      <c r="K28" s="9">
        <v>167000</v>
      </c>
      <c r="L28" s="9">
        <v>75000</v>
      </c>
      <c r="M28" s="9">
        <v>66000</v>
      </c>
      <c r="N28" s="9">
        <v>14000</v>
      </c>
      <c r="O28" s="9">
        <v>15000</v>
      </c>
      <c r="P28" s="9">
        <v>52000</v>
      </c>
    </row>
    <row r="29" spans="1:17" ht="12.45" customHeight="1">
      <c r="A29" s="10" t="s">
        <v>206</v>
      </c>
      <c r="B29" s="9">
        <v>275000</v>
      </c>
      <c r="C29" s="9">
        <v>21000</v>
      </c>
      <c r="D29" s="13" t="s">
        <v>220</v>
      </c>
      <c r="E29" s="9">
        <v>71000</v>
      </c>
      <c r="F29" s="9">
        <v>12000</v>
      </c>
      <c r="G29" s="13" t="s">
        <v>220</v>
      </c>
      <c r="H29" s="9">
        <v>165000</v>
      </c>
      <c r="I29" s="9">
        <v>2000</v>
      </c>
      <c r="J29" s="9">
        <v>238000</v>
      </c>
      <c r="K29" s="9">
        <v>37000</v>
      </c>
      <c r="L29" s="9">
        <v>13000</v>
      </c>
      <c r="M29" s="9">
        <v>13000</v>
      </c>
      <c r="N29" s="9">
        <v>2000</v>
      </c>
      <c r="O29" s="9">
        <v>3000</v>
      </c>
      <c r="P29" s="9">
        <v>13000</v>
      </c>
    </row>
    <row r="30" spans="1:17" ht="12.45" customHeight="1">
      <c r="A30" s="20" t="s">
        <v>211</v>
      </c>
      <c r="B30" s="21">
        <v>891000</v>
      </c>
      <c r="C30" s="21">
        <v>78000</v>
      </c>
      <c r="D30" s="40" t="s">
        <v>191</v>
      </c>
      <c r="E30" s="21">
        <v>103000</v>
      </c>
      <c r="F30" s="21">
        <v>47000</v>
      </c>
      <c r="G30" s="40" t="s">
        <v>191</v>
      </c>
      <c r="H30" s="21">
        <v>637000</v>
      </c>
      <c r="I30" s="21">
        <v>24000</v>
      </c>
      <c r="J30" s="21">
        <v>771000</v>
      </c>
      <c r="K30" s="21">
        <v>120000</v>
      </c>
      <c r="L30" s="21">
        <v>39000</v>
      </c>
      <c r="M30" s="21">
        <v>37000</v>
      </c>
      <c r="N30" s="21">
        <v>13000</v>
      </c>
      <c r="O30" s="21">
        <v>14000</v>
      </c>
      <c r="P30" s="21">
        <v>41000</v>
      </c>
    </row>
    <row r="31" spans="1:17" ht="11.25" customHeight="1">
      <c r="A31" s="344" t="s">
        <v>224</v>
      </c>
      <c r="B31" s="344"/>
      <c r="C31" s="344"/>
      <c r="D31" s="344"/>
      <c r="E31" s="344"/>
      <c r="F31" s="344"/>
      <c r="G31" s="344"/>
      <c r="H31" s="344"/>
      <c r="I31" s="344"/>
      <c r="J31" s="344"/>
      <c r="K31" s="344"/>
      <c r="L31" s="344"/>
      <c r="M31" s="344"/>
      <c r="N31" s="344"/>
      <c r="O31" s="344"/>
      <c r="P31" s="344"/>
      <c r="Q31" s="344"/>
    </row>
    <row r="32" spans="1:17" ht="80.7" customHeight="1">
      <c r="A32" s="321" t="s">
        <v>284</v>
      </c>
      <c r="B32" s="321"/>
      <c r="C32" s="321"/>
      <c r="D32" s="321"/>
      <c r="E32" s="321"/>
      <c r="F32" s="321"/>
      <c r="G32" s="321"/>
      <c r="H32" s="321"/>
      <c r="I32" s="321"/>
      <c r="J32" s="321"/>
      <c r="K32" s="321"/>
      <c r="L32" s="321"/>
      <c r="M32" s="321"/>
      <c r="N32" s="321"/>
      <c r="O32" s="321"/>
      <c r="P32" s="321"/>
      <c r="Q32" s="321"/>
    </row>
    <row r="33" ht="1.95" customHeight="1"/>
  </sheetData>
  <mergeCells count="10">
    <mergeCell ref="A31:Q31"/>
    <mergeCell ref="A32:Q32"/>
    <mergeCell ref="A1:Q1"/>
    <mergeCell ref="A2:A3"/>
    <mergeCell ref="B2:B3"/>
    <mergeCell ref="C2:C3"/>
    <mergeCell ref="D2:I2"/>
    <mergeCell ref="J2:J3"/>
    <mergeCell ref="K2:K3"/>
    <mergeCell ref="L2:P2"/>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16"/>
  <sheetViews>
    <sheetView topLeftCell="K1" workbookViewId="0">
      <selection activeCell="A4" sqref="A4:X15"/>
    </sheetView>
  </sheetViews>
  <sheetFormatPr defaultRowHeight="13.2"/>
  <cols>
    <col min="1" max="1" width="57.109375" customWidth="1"/>
    <col min="2" max="2" width="14" customWidth="1"/>
    <col min="3" max="3" width="13.44140625" customWidth="1"/>
    <col min="4" max="4" width="14" customWidth="1"/>
    <col min="5" max="5" width="21.109375" customWidth="1"/>
    <col min="6" max="6" width="37.44140625" customWidth="1"/>
    <col min="7" max="8" width="12.44140625" customWidth="1"/>
    <col min="9" max="9" width="45.44140625" customWidth="1"/>
    <col min="10" max="10" width="14" customWidth="1"/>
    <col min="11" max="11" width="22.109375" customWidth="1"/>
    <col min="12" max="12" width="20.109375" customWidth="1"/>
    <col min="13" max="13" width="16.44140625" customWidth="1"/>
    <col min="14" max="15" width="7" bestFit="1" customWidth="1"/>
    <col min="16" max="16" width="13.6640625" bestFit="1" customWidth="1"/>
    <col min="17" max="17" width="23.109375" bestFit="1" customWidth="1"/>
    <col min="18" max="19" width="7" bestFit="1" customWidth="1"/>
    <col min="20" max="20" width="28" bestFit="1" customWidth="1"/>
    <col min="21" max="21" width="7" bestFit="1" customWidth="1"/>
    <col min="22" max="22" width="9" bestFit="1" customWidth="1"/>
    <col min="23" max="23" width="13.77734375" bestFit="1" customWidth="1"/>
    <col min="24" max="24" width="11.6640625" bestFit="1" customWidth="1"/>
  </cols>
  <sheetData>
    <row r="1" spans="1:24" ht="42.75" customHeight="1">
      <c r="A1" s="321" t="s">
        <v>285</v>
      </c>
      <c r="B1" s="321"/>
      <c r="C1" s="321"/>
      <c r="D1" s="321"/>
      <c r="E1" s="321"/>
      <c r="F1" s="321"/>
      <c r="G1" s="321"/>
      <c r="H1" s="321"/>
      <c r="I1" s="321"/>
      <c r="J1" s="321"/>
      <c r="K1" s="321"/>
      <c r="L1" s="321"/>
      <c r="M1" s="321"/>
      <c r="N1" s="321"/>
    </row>
    <row r="2" spans="1:24" ht="13.95" customHeight="1">
      <c r="A2" s="339" t="s">
        <v>286</v>
      </c>
      <c r="B2" s="345" t="s">
        <v>167</v>
      </c>
      <c r="C2" s="347" t="s">
        <v>282</v>
      </c>
      <c r="D2" s="345" t="s">
        <v>283</v>
      </c>
      <c r="E2" s="349" t="s">
        <v>265</v>
      </c>
      <c r="F2" s="330" t="s">
        <v>266</v>
      </c>
      <c r="G2" s="331"/>
      <c r="H2" s="331"/>
      <c r="I2" s="331"/>
      <c r="J2" s="331"/>
      <c r="K2" s="332"/>
      <c r="L2" s="349" t="s">
        <v>267</v>
      </c>
      <c r="M2" s="349" t="s">
        <v>268</v>
      </c>
      <c r="N2" s="354" t="s">
        <v>287</v>
      </c>
      <c r="O2" s="353" t="s">
        <v>288</v>
      </c>
      <c r="P2" s="353" t="s">
        <v>289</v>
      </c>
      <c r="Q2" s="351" t="s">
        <v>290</v>
      </c>
      <c r="R2" s="351" t="s">
        <v>291</v>
      </c>
      <c r="S2" s="351" t="s">
        <v>292</v>
      </c>
      <c r="T2" s="351" t="s">
        <v>293</v>
      </c>
      <c r="U2" s="351" t="s">
        <v>294</v>
      </c>
      <c r="V2" s="351" t="s">
        <v>295</v>
      </c>
      <c r="W2" s="351" t="s">
        <v>296</v>
      </c>
      <c r="X2" s="351" t="s">
        <v>297</v>
      </c>
    </row>
    <row r="3" spans="1:24" ht="13.95" customHeight="1">
      <c r="A3" s="340"/>
      <c r="B3" s="346"/>
      <c r="C3" s="348"/>
      <c r="D3" s="346"/>
      <c r="E3" s="350"/>
      <c r="F3" s="41" t="s">
        <v>270</v>
      </c>
      <c r="G3" s="41" t="s">
        <v>271</v>
      </c>
      <c r="H3" s="41" t="s">
        <v>298</v>
      </c>
      <c r="I3" s="48" t="s">
        <v>273</v>
      </c>
      <c r="J3" s="41" t="s">
        <v>274</v>
      </c>
      <c r="K3" s="5" t="s">
        <v>275</v>
      </c>
      <c r="L3" s="350"/>
      <c r="M3" s="350"/>
      <c r="N3" s="354"/>
      <c r="O3" s="353"/>
      <c r="P3" s="353"/>
      <c r="Q3" s="352"/>
      <c r="R3" s="352"/>
      <c r="S3" s="352"/>
      <c r="T3" s="352"/>
      <c r="U3" s="352"/>
      <c r="V3" s="352"/>
      <c r="W3" s="352"/>
      <c r="X3" s="352"/>
    </row>
    <row r="4" spans="1:24" ht="12.45" customHeight="1">
      <c r="A4" s="138" t="s">
        <v>176</v>
      </c>
      <c r="B4" s="107">
        <v>805000</v>
      </c>
      <c r="C4" s="7">
        <v>347000</v>
      </c>
      <c r="D4" s="7">
        <v>458000</v>
      </c>
      <c r="E4" s="7">
        <v>67000</v>
      </c>
      <c r="F4" s="7">
        <v>3000</v>
      </c>
      <c r="G4" s="7">
        <v>96000</v>
      </c>
      <c r="H4" s="7">
        <v>91000</v>
      </c>
      <c r="I4" s="19" t="s">
        <v>191</v>
      </c>
      <c r="J4" s="7">
        <v>537000</v>
      </c>
      <c r="K4" s="7">
        <v>11000</v>
      </c>
      <c r="L4" s="7">
        <v>706000</v>
      </c>
      <c r="M4" s="7">
        <v>99000</v>
      </c>
      <c r="N4" s="204">
        <f>C4/$B4</f>
        <v>0.43105590062111804</v>
      </c>
      <c r="O4" s="204">
        <f t="shared" ref="O4:X4" si="0">D4/$B4</f>
        <v>0.56894409937888202</v>
      </c>
      <c r="P4" s="204">
        <f t="shared" si="0"/>
        <v>8.3229813664596267E-2</v>
      </c>
      <c r="Q4" s="204">
        <f t="shared" si="0"/>
        <v>3.7267080745341614E-3</v>
      </c>
      <c r="R4" s="204">
        <f t="shared" si="0"/>
        <v>0.11925465838509317</v>
      </c>
      <c r="S4" s="204">
        <f t="shared" si="0"/>
        <v>0.11304347826086956</v>
      </c>
      <c r="T4" s="204" t="e">
        <f t="shared" si="0"/>
        <v>#VALUE!</v>
      </c>
      <c r="U4" s="204">
        <f t="shared" si="0"/>
        <v>0.66708074534161488</v>
      </c>
      <c r="V4" s="204">
        <f t="shared" si="0"/>
        <v>1.3664596273291925E-2</v>
      </c>
      <c r="W4" s="204">
        <f t="shared" si="0"/>
        <v>0.87701863354037268</v>
      </c>
      <c r="X4" s="204">
        <f t="shared" si="0"/>
        <v>0.12298136645962733</v>
      </c>
    </row>
    <row r="5" spans="1:24" ht="12.45" customHeight="1">
      <c r="A5" s="111" t="s">
        <v>223</v>
      </c>
      <c r="B5" s="109">
        <v>3246000</v>
      </c>
      <c r="C5" s="104">
        <v>1466000</v>
      </c>
      <c r="D5" s="104">
        <v>1781000</v>
      </c>
      <c r="E5" s="104">
        <v>324000</v>
      </c>
      <c r="F5" s="152" t="s">
        <v>191</v>
      </c>
      <c r="G5" s="104">
        <v>327000</v>
      </c>
      <c r="H5" s="104">
        <v>219000</v>
      </c>
      <c r="I5" s="152" t="s">
        <v>191</v>
      </c>
      <c r="J5" s="104">
        <v>2305000</v>
      </c>
      <c r="K5" s="104">
        <v>61000</v>
      </c>
      <c r="L5" s="104">
        <v>2907000</v>
      </c>
      <c r="M5" s="104">
        <v>340000</v>
      </c>
      <c r="N5" s="204">
        <f t="shared" ref="N5:N13" si="1">C5/$B5</f>
        <v>0.45163277880468267</v>
      </c>
      <c r="O5" s="204">
        <f t="shared" ref="O5:O13" si="2">D5/$B5</f>
        <v>0.54867529266789894</v>
      </c>
      <c r="P5" s="204">
        <f t="shared" ref="P5:P13" si="3">E5/$B5</f>
        <v>9.9815157116451017E-2</v>
      </c>
      <c r="Q5" s="204" t="e">
        <f t="shared" ref="Q5:Q13" si="4">F5/$B5</f>
        <v>#VALUE!</v>
      </c>
      <c r="R5" s="204">
        <f t="shared" ref="R5:R13" si="5">G5/$B5</f>
        <v>0.10073937153419593</v>
      </c>
      <c r="S5" s="204">
        <f t="shared" ref="S5:S13" si="6">H5/$B5</f>
        <v>6.7467652495378921E-2</v>
      </c>
      <c r="T5" s="204" t="e">
        <f t="shared" ref="T5:T13" si="7">I5/$B5</f>
        <v>#VALUE!</v>
      </c>
      <c r="U5" s="204">
        <f t="shared" ref="U5:U13" si="8">J5/$B5</f>
        <v>0.71010474430067771</v>
      </c>
      <c r="V5" s="204">
        <f t="shared" ref="V5:V13" si="9">K5/$B5</f>
        <v>1.8792359827479975E-2</v>
      </c>
      <c r="W5" s="204">
        <f t="shared" ref="W5:W13" si="10">L5/$B5</f>
        <v>0.89556377079482441</v>
      </c>
      <c r="X5" s="204">
        <f t="shared" ref="X5:X13" si="11">M5/$B5</f>
        <v>0.10474430067775724</v>
      </c>
    </row>
    <row r="6" spans="1:24" ht="12.45" customHeight="1">
      <c r="A6" s="112" t="s">
        <v>174</v>
      </c>
      <c r="B6" s="105">
        <v>82000</v>
      </c>
      <c r="C6" s="9">
        <v>42000</v>
      </c>
      <c r="D6" s="9">
        <v>41000</v>
      </c>
      <c r="E6" s="9">
        <v>12000</v>
      </c>
      <c r="F6" s="13" t="s">
        <v>220</v>
      </c>
      <c r="G6" s="9">
        <v>17000</v>
      </c>
      <c r="H6" s="9">
        <v>2000</v>
      </c>
      <c r="I6" s="13" t="s">
        <v>220</v>
      </c>
      <c r="J6" s="9">
        <v>50000</v>
      </c>
      <c r="K6" s="9">
        <v>1000</v>
      </c>
      <c r="L6" s="9">
        <v>71000</v>
      </c>
      <c r="M6" s="9">
        <v>11000</v>
      </c>
      <c r="N6" s="204">
        <f t="shared" si="1"/>
        <v>0.51219512195121952</v>
      </c>
      <c r="O6" s="204">
        <f t="shared" si="2"/>
        <v>0.5</v>
      </c>
      <c r="P6" s="204">
        <f t="shared" si="3"/>
        <v>0.14634146341463414</v>
      </c>
      <c r="Q6" s="204" t="e">
        <f t="shared" si="4"/>
        <v>#VALUE!</v>
      </c>
      <c r="R6" s="204">
        <f t="shared" si="5"/>
        <v>0.2073170731707317</v>
      </c>
      <c r="S6" s="204">
        <f t="shared" si="6"/>
        <v>2.4390243902439025E-2</v>
      </c>
      <c r="T6" s="204" t="e">
        <f t="shared" si="7"/>
        <v>#VALUE!</v>
      </c>
      <c r="U6" s="204">
        <f t="shared" si="8"/>
        <v>0.6097560975609756</v>
      </c>
      <c r="V6" s="204">
        <f t="shared" si="9"/>
        <v>1.2195121951219513E-2</v>
      </c>
      <c r="W6" s="204">
        <f t="shared" si="10"/>
        <v>0.86585365853658536</v>
      </c>
      <c r="X6" s="204">
        <f t="shared" si="11"/>
        <v>0.13414634146341464</v>
      </c>
    </row>
    <row r="7" spans="1:24" ht="12.45" customHeight="1">
      <c r="A7" s="163" t="s">
        <v>227</v>
      </c>
      <c r="B7" s="105">
        <v>20000</v>
      </c>
      <c r="C7" s="9">
        <v>9000</v>
      </c>
      <c r="D7" s="9">
        <v>11000</v>
      </c>
      <c r="E7" s="9">
        <v>2000</v>
      </c>
      <c r="F7" s="13" t="s">
        <v>220</v>
      </c>
      <c r="G7" s="9">
        <v>9000</v>
      </c>
      <c r="H7" s="13" t="s">
        <v>220</v>
      </c>
      <c r="I7" s="13" t="s">
        <v>220</v>
      </c>
      <c r="J7" s="9">
        <v>9000</v>
      </c>
      <c r="K7" s="13" t="s">
        <v>220</v>
      </c>
      <c r="L7" s="9">
        <v>18000</v>
      </c>
      <c r="M7" s="9">
        <v>1000</v>
      </c>
      <c r="N7" s="204">
        <f t="shared" si="1"/>
        <v>0.45</v>
      </c>
      <c r="O7" s="204">
        <f t="shared" si="2"/>
        <v>0.55000000000000004</v>
      </c>
      <c r="P7" s="204">
        <f t="shared" si="3"/>
        <v>0.1</v>
      </c>
      <c r="Q7" s="204" t="e">
        <f t="shared" si="4"/>
        <v>#VALUE!</v>
      </c>
      <c r="R7" s="204">
        <f t="shared" si="5"/>
        <v>0.45</v>
      </c>
      <c r="S7" s="204" t="e">
        <f t="shared" si="6"/>
        <v>#VALUE!</v>
      </c>
      <c r="T7" s="204" t="e">
        <f t="shared" si="7"/>
        <v>#VALUE!</v>
      </c>
      <c r="U7" s="204">
        <f t="shared" si="8"/>
        <v>0.45</v>
      </c>
      <c r="V7" s="204" t="e">
        <f t="shared" si="9"/>
        <v>#VALUE!</v>
      </c>
      <c r="W7" s="204">
        <f t="shared" si="10"/>
        <v>0.9</v>
      </c>
      <c r="X7" s="204">
        <f t="shared" si="11"/>
        <v>0.05</v>
      </c>
    </row>
    <row r="8" spans="1:24" ht="12.45" customHeight="1">
      <c r="A8" s="163" t="s">
        <v>228</v>
      </c>
      <c r="B8" s="105">
        <v>22000</v>
      </c>
      <c r="C8" s="9">
        <v>6000</v>
      </c>
      <c r="D8" s="9">
        <v>15000</v>
      </c>
      <c r="E8" s="13" t="s">
        <v>220</v>
      </c>
      <c r="F8" s="13" t="s">
        <v>220</v>
      </c>
      <c r="G8" s="13" t="s">
        <v>191</v>
      </c>
      <c r="H8" s="13" t="s">
        <v>220</v>
      </c>
      <c r="I8" s="13" t="s">
        <v>220</v>
      </c>
      <c r="J8" s="9">
        <v>17000</v>
      </c>
      <c r="K8" s="13" t="s">
        <v>220</v>
      </c>
      <c r="L8" s="9">
        <v>21000</v>
      </c>
      <c r="M8" s="13" t="s">
        <v>220</v>
      </c>
      <c r="N8" s="204">
        <f t="shared" si="1"/>
        <v>0.27272727272727271</v>
      </c>
      <c r="O8" s="204">
        <f t="shared" si="2"/>
        <v>0.68181818181818177</v>
      </c>
      <c r="P8" s="204" t="e">
        <f t="shared" si="3"/>
        <v>#VALUE!</v>
      </c>
      <c r="Q8" s="204" t="e">
        <f t="shared" si="4"/>
        <v>#VALUE!</v>
      </c>
      <c r="R8" s="204" t="e">
        <f t="shared" si="5"/>
        <v>#VALUE!</v>
      </c>
      <c r="S8" s="204" t="e">
        <f t="shared" si="6"/>
        <v>#VALUE!</v>
      </c>
      <c r="T8" s="204" t="e">
        <f t="shared" si="7"/>
        <v>#VALUE!</v>
      </c>
      <c r="U8" s="204">
        <f t="shared" si="8"/>
        <v>0.77272727272727271</v>
      </c>
      <c r="V8" s="204" t="e">
        <f t="shared" si="9"/>
        <v>#VALUE!</v>
      </c>
      <c r="W8" s="204">
        <f t="shared" si="10"/>
        <v>0.95454545454545459</v>
      </c>
      <c r="X8" s="204" t="e">
        <f t="shared" si="11"/>
        <v>#VALUE!</v>
      </c>
    </row>
    <row r="9" spans="1:24" ht="12.45" customHeight="1">
      <c r="A9" s="163" t="s">
        <v>229</v>
      </c>
      <c r="B9" s="105">
        <v>1000</v>
      </c>
      <c r="C9" s="13" t="s">
        <v>220</v>
      </c>
      <c r="D9" s="13" t="s">
        <v>191</v>
      </c>
      <c r="E9" s="13" t="s">
        <v>220</v>
      </c>
      <c r="F9" s="13" t="s">
        <v>220</v>
      </c>
      <c r="G9" s="13" t="s">
        <v>220</v>
      </c>
      <c r="H9" s="13" t="s">
        <v>220</v>
      </c>
      <c r="I9" s="13" t="s">
        <v>220</v>
      </c>
      <c r="J9" s="13" t="s">
        <v>191</v>
      </c>
      <c r="K9" s="13" t="s">
        <v>220</v>
      </c>
      <c r="L9" s="13" t="s">
        <v>191</v>
      </c>
      <c r="M9" s="13" t="s">
        <v>220</v>
      </c>
      <c r="N9" s="204" t="e">
        <f t="shared" si="1"/>
        <v>#VALUE!</v>
      </c>
      <c r="O9" s="204" t="e">
        <f t="shared" si="2"/>
        <v>#VALUE!</v>
      </c>
      <c r="P9" s="204" t="e">
        <f t="shared" si="3"/>
        <v>#VALUE!</v>
      </c>
      <c r="Q9" s="204" t="e">
        <f t="shared" si="4"/>
        <v>#VALUE!</v>
      </c>
      <c r="R9" s="204" t="e">
        <f t="shared" si="5"/>
        <v>#VALUE!</v>
      </c>
      <c r="S9" s="204" t="e">
        <f t="shared" si="6"/>
        <v>#VALUE!</v>
      </c>
      <c r="T9" s="204" t="e">
        <f t="shared" si="7"/>
        <v>#VALUE!</v>
      </c>
      <c r="U9" s="204" t="e">
        <f t="shared" si="8"/>
        <v>#VALUE!</v>
      </c>
      <c r="V9" s="204" t="e">
        <f t="shared" si="9"/>
        <v>#VALUE!</v>
      </c>
      <c r="W9" s="204" t="e">
        <f t="shared" si="10"/>
        <v>#VALUE!</v>
      </c>
      <c r="X9" s="204" t="e">
        <f t="shared" si="11"/>
        <v>#VALUE!</v>
      </c>
    </row>
    <row r="10" spans="1:24" ht="12.45" customHeight="1">
      <c r="A10" s="163" t="s">
        <v>230</v>
      </c>
      <c r="B10" s="105">
        <v>38000</v>
      </c>
      <c r="C10" s="9">
        <v>27000</v>
      </c>
      <c r="D10" s="9">
        <v>12000</v>
      </c>
      <c r="E10" s="13" t="s">
        <v>191</v>
      </c>
      <c r="F10" s="13" t="s">
        <v>220</v>
      </c>
      <c r="G10" s="9">
        <v>4000</v>
      </c>
      <c r="H10" s="9">
        <v>2000</v>
      </c>
      <c r="I10" s="13" t="s">
        <v>220</v>
      </c>
      <c r="J10" s="9">
        <v>22000</v>
      </c>
      <c r="K10" s="13" t="s">
        <v>220</v>
      </c>
      <c r="L10" s="9">
        <v>29000</v>
      </c>
      <c r="M10" s="13" t="s">
        <v>191</v>
      </c>
      <c r="N10" s="204">
        <f t="shared" si="1"/>
        <v>0.71052631578947367</v>
      </c>
      <c r="O10" s="204">
        <f t="shared" si="2"/>
        <v>0.31578947368421051</v>
      </c>
      <c r="P10" s="204" t="e">
        <f t="shared" si="3"/>
        <v>#VALUE!</v>
      </c>
      <c r="Q10" s="204" t="e">
        <f t="shared" si="4"/>
        <v>#VALUE!</v>
      </c>
      <c r="R10" s="204">
        <f t="shared" si="5"/>
        <v>0.10526315789473684</v>
      </c>
      <c r="S10" s="204">
        <f t="shared" si="6"/>
        <v>5.2631578947368418E-2</v>
      </c>
      <c r="T10" s="204" t="e">
        <f t="shared" si="7"/>
        <v>#VALUE!</v>
      </c>
      <c r="U10" s="204">
        <f t="shared" si="8"/>
        <v>0.57894736842105265</v>
      </c>
      <c r="V10" s="204" t="e">
        <f t="shared" si="9"/>
        <v>#VALUE!</v>
      </c>
      <c r="W10" s="204">
        <f t="shared" si="10"/>
        <v>0.76315789473684215</v>
      </c>
      <c r="X10" s="204" t="e">
        <f t="shared" si="11"/>
        <v>#VALUE!</v>
      </c>
    </row>
    <row r="11" spans="1:24" ht="12.45" customHeight="1">
      <c r="A11" s="163" t="s">
        <v>231</v>
      </c>
      <c r="B11" s="162" t="s">
        <v>191</v>
      </c>
      <c r="C11" s="13" t="s">
        <v>220</v>
      </c>
      <c r="D11" s="13" t="s">
        <v>191</v>
      </c>
      <c r="E11" s="13" t="s">
        <v>220</v>
      </c>
      <c r="F11" s="13" t="s">
        <v>220</v>
      </c>
      <c r="G11" s="13" t="s">
        <v>220</v>
      </c>
      <c r="H11" s="13" t="s">
        <v>220</v>
      </c>
      <c r="I11" s="13" t="s">
        <v>220</v>
      </c>
      <c r="J11" s="13" t="s">
        <v>220</v>
      </c>
      <c r="K11" s="13" t="s">
        <v>220</v>
      </c>
      <c r="L11" s="13" t="s">
        <v>191</v>
      </c>
      <c r="M11" s="13" t="s">
        <v>220</v>
      </c>
      <c r="N11" s="204" t="e">
        <f t="shared" si="1"/>
        <v>#VALUE!</v>
      </c>
      <c r="O11" s="204" t="e">
        <f t="shared" si="2"/>
        <v>#VALUE!</v>
      </c>
      <c r="P11" s="204" t="e">
        <f t="shared" si="3"/>
        <v>#VALUE!</v>
      </c>
      <c r="Q11" s="204" t="e">
        <f t="shared" si="4"/>
        <v>#VALUE!</v>
      </c>
      <c r="R11" s="204" t="e">
        <f t="shared" si="5"/>
        <v>#VALUE!</v>
      </c>
      <c r="S11" s="204" t="e">
        <f t="shared" si="6"/>
        <v>#VALUE!</v>
      </c>
      <c r="T11" s="204" t="e">
        <f t="shared" si="7"/>
        <v>#VALUE!</v>
      </c>
      <c r="U11" s="204" t="e">
        <f t="shared" si="8"/>
        <v>#VALUE!</v>
      </c>
      <c r="V11" s="204" t="e">
        <f t="shared" si="9"/>
        <v>#VALUE!</v>
      </c>
      <c r="W11" s="204" t="e">
        <f t="shared" si="10"/>
        <v>#VALUE!</v>
      </c>
      <c r="X11" s="204" t="e">
        <f t="shared" si="11"/>
        <v>#VALUE!</v>
      </c>
    </row>
    <row r="12" spans="1:24" ht="12.45" customHeight="1">
      <c r="A12" s="112" t="s">
        <v>175</v>
      </c>
      <c r="B12" s="105">
        <v>1538000</v>
      </c>
      <c r="C12" s="9">
        <v>674000</v>
      </c>
      <c r="D12" s="9">
        <v>865000</v>
      </c>
      <c r="E12" s="9">
        <v>140000</v>
      </c>
      <c r="F12" s="13" t="s">
        <v>220</v>
      </c>
      <c r="G12" s="9">
        <v>220000</v>
      </c>
      <c r="H12" s="9">
        <v>112000</v>
      </c>
      <c r="I12" s="13" t="s">
        <v>220</v>
      </c>
      <c r="J12" s="9">
        <v>1027000</v>
      </c>
      <c r="K12" s="9">
        <v>31000</v>
      </c>
      <c r="L12" s="9">
        <v>1429000</v>
      </c>
      <c r="M12" s="9">
        <v>110000</v>
      </c>
      <c r="N12" s="204">
        <f t="shared" si="1"/>
        <v>0.43823146944083224</v>
      </c>
      <c r="O12" s="204">
        <f t="shared" si="2"/>
        <v>0.56241872561768536</v>
      </c>
      <c r="P12" s="204">
        <f t="shared" si="3"/>
        <v>9.1027308192457732E-2</v>
      </c>
      <c r="Q12" s="204" t="e">
        <f t="shared" si="4"/>
        <v>#VALUE!</v>
      </c>
      <c r="R12" s="204">
        <f t="shared" si="5"/>
        <v>0.14304291287386217</v>
      </c>
      <c r="S12" s="204">
        <f t="shared" si="6"/>
        <v>7.2821846553966188E-2</v>
      </c>
      <c r="T12" s="204" t="e">
        <f t="shared" si="7"/>
        <v>#VALUE!</v>
      </c>
      <c r="U12" s="204">
        <f t="shared" si="8"/>
        <v>0.6677503250975293</v>
      </c>
      <c r="V12" s="204">
        <f t="shared" si="9"/>
        <v>2.0156046814044214E-2</v>
      </c>
      <c r="W12" s="204">
        <f t="shared" si="10"/>
        <v>0.92912873862158651</v>
      </c>
      <c r="X12" s="204">
        <f t="shared" si="11"/>
        <v>7.1521456436931086E-2</v>
      </c>
    </row>
    <row r="13" spans="1:24" ht="12.45" customHeight="1">
      <c r="A13" s="112" t="s">
        <v>176</v>
      </c>
      <c r="B13" s="110">
        <v>1626000</v>
      </c>
      <c r="C13" s="21">
        <v>750000</v>
      </c>
      <c r="D13" s="21">
        <v>876000</v>
      </c>
      <c r="E13" s="21">
        <v>171000</v>
      </c>
      <c r="F13" s="40" t="s">
        <v>191</v>
      </c>
      <c r="G13" s="21">
        <v>89000</v>
      </c>
      <c r="H13" s="21">
        <v>106000</v>
      </c>
      <c r="I13" s="40" t="s">
        <v>191</v>
      </c>
      <c r="J13" s="21">
        <v>1228000</v>
      </c>
      <c r="K13" s="21">
        <v>30000</v>
      </c>
      <c r="L13" s="21">
        <v>1407000</v>
      </c>
      <c r="M13" s="21">
        <v>219000</v>
      </c>
      <c r="N13" s="204">
        <f t="shared" si="1"/>
        <v>0.46125461254612549</v>
      </c>
      <c r="O13" s="204">
        <f t="shared" si="2"/>
        <v>0.53874538745387457</v>
      </c>
      <c r="P13" s="204">
        <f t="shared" si="3"/>
        <v>0.10516605166051661</v>
      </c>
      <c r="Q13" s="204" t="e">
        <f t="shared" si="4"/>
        <v>#VALUE!</v>
      </c>
      <c r="R13" s="204">
        <f t="shared" si="5"/>
        <v>5.4735547355473556E-2</v>
      </c>
      <c r="S13" s="204">
        <f t="shared" si="6"/>
        <v>6.519065190651907E-2</v>
      </c>
      <c r="T13" s="204" t="e">
        <f t="shared" si="7"/>
        <v>#VALUE!</v>
      </c>
      <c r="U13" s="204">
        <f t="shared" si="8"/>
        <v>0.75522755227552274</v>
      </c>
      <c r="V13" s="204">
        <f t="shared" si="9"/>
        <v>1.8450184501845018E-2</v>
      </c>
      <c r="W13" s="204">
        <f t="shared" si="10"/>
        <v>0.86531365313653141</v>
      </c>
      <c r="X13" s="204">
        <f t="shared" si="11"/>
        <v>0.13468634686346864</v>
      </c>
    </row>
    <row r="14" spans="1:24" ht="11.25" customHeight="1">
      <c r="A14" s="344" t="s">
        <v>224</v>
      </c>
      <c r="B14" s="344"/>
      <c r="C14" s="344"/>
      <c r="D14" s="344"/>
      <c r="E14" s="344"/>
      <c r="F14" s="344"/>
      <c r="G14" s="344"/>
      <c r="H14" s="344"/>
      <c r="I14" s="344"/>
      <c r="J14" s="344"/>
      <c r="K14" s="344"/>
      <c r="L14" s="344"/>
      <c r="M14" s="344"/>
      <c r="N14" s="344"/>
    </row>
    <row r="15" spans="1:24" ht="80.7" customHeight="1">
      <c r="A15" s="321" t="s">
        <v>299</v>
      </c>
      <c r="B15" s="321"/>
      <c r="C15" s="321"/>
      <c r="D15" s="321"/>
      <c r="E15" s="321"/>
      <c r="F15" s="321"/>
      <c r="G15" s="321"/>
      <c r="H15" s="321"/>
      <c r="I15" s="321"/>
      <c r="J15" s="321"/>
      <c r="K15" s="321"/>
      <c r="L15" s="321"/>
      <c r="M15" s="321"/>
      <c r="N15" s="321"/>
    </row>
    <row r="16" spans="1:24" ht="1.95" customHeight="1"/>
  </sheetData>
  <mergeCells count="22">
    <mergeCell ref="A14:N14"/>
    <mergeCell ref="A15:N15"/>
    <mergeCell ref="A1:N1"/>
    <mergeCell ref="A2:A3"/>
    <mergeCell ref="B2:B3"/>
    <mergeCell ref="C2:C3"/>
    <mergeCell ref="D2:D3"/>
    <mergeCell ref="E2:E3"/>
    <mergeCell ref="F2:K2"/>
    <mergeCell ref="L2:L3"/>
    <mergeCell ref="M2:M3"/>
    <mergeCell ref="N2:N3"/>
    <mergeCell ref="O2:O3"/>
    <mergeCell ref="P2:P3"/>
    <mergeCell ref="Q2:Q3"/>
    <mergeCell ref="R2:R3"/>
    <mergeCell ref="S2:S3"/>
    <mergeCell ref="T2:T3"/>
    <mergeCell ref="U2:U3"/>
    <mergeCell ref="V2:V3"/>
    <mergeCell ref="W2:W3"/>
    <mergeCell ref="X2:X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K89"/>
  <sheetViews>
    <sheetView topLeftCell="E1" zoomScaleNormal="100" workbookViewId="0">
      <pane ySplit="4" topLeftCell="A7" activePane="bottomLeft" state="frozen"/>
      <selection pane="bottomLeft" activeCell="AA32" sqref="AA32:AK32"/>
    </sheetView>
  </sheetViews>
  <sheetFormatPr defaultRowHeight="13.2"/>
  <cols>
    <col min="1" max="1" width="57.109375" customWidth="1"/>
    <col min="2" max="2" width="14" customWidth="1"/>
    <col min="3" max="3" width="13.44140625" customWidth="1"/>
    <col min="4" max="4" width="14" customWidth="1"/>
    <col min="5" max="5" width="21.109375" customWidth="1"/>
    <col min="6" max="6" width="37.44140625" customWidth="1"/>
    <col min="7" max="8" width="12.44140625" customWidth="1"/>
    <col min="9" max="9" width="45.44140625" customWidth="1"/>
    <col min="10" max="10" width="14" customWidth="1"/>
    <col min="11" max="11" width="22.109375" customWidth="1"/>
    <col min="12" max="12" width="20.109375" customWidth="1"/>
    <col min="13" max="24" width="16.44140625" customWidth="1"/>
    <col min="25" max="25" width="2.6640625" customWidth="1"/>
  </cols>
  <sheetData>
    <row r="1" spans="1:37" ht="39" customHeight="1">
      <c r="A1" s="321" t="s">
        <v>285</v>
      </c>
      <c r="B1" s="321"/>
      <c r="C1" s="321"/>
      <c r="D1" s="321"/>
      <c r="E1" s="321"/>
      <c r="F1" s="321"/>
      <c r="G1" s="321"/>
      <c r="H1" s="321"/>
      <c r="I1" s="321"/>
      <c r="J1" s="321"/>
      <c r="K1" s="321"/>
      <c r="L1" s="321"/>
      <c r="M1" s="321"/>
      <c r="N1" s="321"/>
      <c r="O1" s="321"/>
      <c r="P1" s="321"/>
      <c r="Q1" s="321"/>
      <c r="R1" s="321"/>
      <c r="S1" s="321"/>
      <c r="T1" s="321"/>
      <c r="U1" s="321"/>
      <c r="V1" s="321"/>
      <c r="W1" s="321"/>
      <c r="X1" s="321"/>
      <c r="Y1" s="321"/>
    </row>
    <row r="2" spans="1:37" ht="1.95" customHeight="1"/>
    <row r="3" spans="1:37" ht="13.95" customHeight="1">
      <c r="A3" s="339" t="s">
        <v>286</v>
      </c>
      <c r="B3" s="345" t="s">
        <v>167</v>
      </c>
      <c r="C3" s="347" t="s">
        <v>282</v>
      </c>
      <c r="D3" s="345" t="s">
        <v>283</v>
      </c>
      <c r="E3" s="349" t="s">
        <v>265</v>
      </c>
      <c r="F3" s="330" t="s">
        <v>266</v>
      </c>
      <c r="G3" s="331"/>
      <c r="H3" s="331"/>
      <c r="I3" s="331"/>
      <c r="J3" s="331"/>
      <c r="K3" s="332"/>
      <c r="L3" s="349" t="s">
        <v>267</v>
      </c>
      <c r="M3" s="349" t="s">
        <v>90</v>
      </c>
      <c r="N3" s="354" t="s">
        <v>287</v>
      </c>
      <c r="O3" s="353" t="s">
        <v>288</v>
      </c>
      <c r="P3" s="353" t="s">
        <v>289</v>
      </c>
      <c r="Q3" s="351" t="s">
        <v>290</v>
      </c>
      <c r="R3" s="351" t="s">
        <v>291</v>
      </c>
      <c r="S3" s="351" t="s">
        <v>292</v>
      </c>
      <c r="T3" s="351" t="s">
        <v>293</v>
      </c>
      <c r="U3" s="351" t="s">
        <v>294</v>
      </c>
      <c r="V3" s="351" t="s">
        <v>295</v>
      </c>
      <c r="W3" s="351" t="s">
        <v>296</v>
      </c>
      <c r="X3" s="351" t="s">
        <v>297</v>
      </c>
      <c r="Y3" s="49" t="s">
        <v>273</v>
      </c>
      <c r="AA3" s="354" t="s">
        <v>287</v>
      </c>
      <c r="AB3" s="353" t="s">
        <v>288</v>
      </c>
      <c r="AC3" s="353" t="s">
        <v>289</v>
      </c>
      <c r="AD3" s="351" t="s">
        <v>290</v>
      </c>
      <c r="AE3" s="351" t="s">
        <v>291</v>
      </c>
      <c r="AF3" s="351" t="s">
        <v>292</v>
      </c>
      <c r="AG3" s="351" t="s">
        <v>293</v>
      </c>
      <c r="AH3" s="351" t="s">
        <v>294</v>
      </c>
      <c r="AI3" s="351" t="s">
        <v>295</v>
      </c>
      <c r="AJ3" s="351" t="s">
        <v>296</v>
      </c>
      <c r="AK3" s="351" t="s">
        <v>297</v>
      </c>
    </row>
    <row r="4" spans="1:37" ht="13.95" customHeight="1">
      <c r="A4" s="340"/>
      <c r="B4" s="346"/>
      <c r="C4" s="348"/>
      <c r="D4" s="346"/>
      <c r="E4" s="350"/>
      <c r="F4" s="41" t="s">
        <v>270</v>
      </c>
      <c r="G4" s="41" t="s">
        <v>271</v>
      </c>
      <c r="H4" s="41" t="s">
        <v>298</v>
      </c>
      <c r="I4" s="48" t="s">
        <v>273</v>
      </c>
      <c r="J4" s="41" t="s">
        <v>274</v>
      </c>
      <c r="K4" s="5" t="s">
        <v>275</v>
      </c>
      <c r="L4" s="350"/>
      <c r="M4" s="350"/>
      <c r="N4" s="354"/>
      <c r="O4" s="353"/>
      <c r="P4" s="353"/>
      <c r="Q4" s="352"/>
      <c r="R4" s="352"/>
      <c r="S4" s="352"/>
      <c r="T4" s="352"/>
      <c r="U4" s="352"/>
      <c r="V4" s="352"/>
      <c r="W4" s="352"/>
      <c r="X4" s="352"/>
      <c r="Y4" s="49"/>
      <c r="AA4" s="354"/>
      <c r="AB4" s="353"/>
      <c r="AC4" s="353"/>
      <c r="AD4" s="352"/>
      <c r="AE4" s="352"/>
      <c r="AF4" s="352"/>
      <c r="AG4" s="352"/>
      <c r="AH4" s="352"/>
      <c r="AI4" s="352"/>
      <c r="AJ4" s="352"/>
      <c r="AK4" s="352"/>
    </row>
    <row r="5" spans="1:37" ht="12.45" customHeight="1">
      <c r="A5" s="128" t="s">
        <v>232</v>
      </c>
      <c r="B5" s="127">
        <v>51764000</v>
      </c>
      <c r="C5" s="126">
        <v>26493000</v>
      </c>
      <c r="D5" s="126">
        <v>25271000</v>
      </c>
      <c r="E5" s="126">
        <v>5307000</v>
      </c>
      <c r="F5" s="126">
        <v>126000</v>
      </c>
      <c r="G5" s="126">
        <v>5475000</v>
      </c>
      <c r="H5" s="126">
        <v>4109000</v>
      </c>
      <c r="I5" s="126">
        <v>136000</v>
      </c>
      <c r="J5" s="126">
        <v>35373000</v>
      </c>
      <c r="K5" s="126">
        <v>1238000</v>
      </c>
      <c r="L5" s="126">
        <v>45426000</v>
      </c>
      <c r="M5" s="126">
        <v>6338000</v>
      </c>
      <c r="N5" s="228">
        <f>C5/$B5</f>
        <v>0.51180357004868249</v>
      </c>
      <c r="O5" s="228">
        <f>D5/$B5</f>
        <v>0.48819642995131751</v>
      </c>
      <c r="P5" s="228">
        <f t="shared" ref="P5:X5" si="0">E5/$B5</f>
        <v>0.10252298894984932</v>
      </c>
      <c r="Q5" s="228">
        <f t="shared" si="0"/>
        <v>2.4341241016922958E-3</v>
      </c>
      <c r="R5" s="228">
        <f t="shared" si="0"/>
        <v>0.10576848775210571</v>
      </c>
      <c r="S5" s="228">
        <f t="shared" si="0"/>
        <v>7.9379491538520974E-2</v>
      </c>
      <c r="T5" s="228">
        <f t="shared" si="0"/>
        <v>2.6273085542075575E-3</v>
      </c>
      <c r="U5" s="228">
        <f t="shared" si="0"/>
        <v>0.68335136388223472</v>
      </c>
      <c r="V5" s="228">
        <f t="shared" si="0"/>
        <v>2.3916235221389383E-2</v>
      </c>
      <c r="W5" s="228">
        <f t="shared" si="0"/>
        <v>0.87755969399582723</v>
      </c>
      <c r="X5" s="228">
        <f t="shared" si="0"/>
        <v>0.12244030600417279</v>
      </c>
      <c r="AA5" s="204">
        <v>0.51180357004868204</v>
      </c>
      <c r="AB5" s="204">
        <f>-48.8196429951318%</f>
        <v>-0.48819642995131801</v>
      </c>
      <c r="AC5" s="204">
        <v>0.10252298894984932</v>
      </c>
      <c r="AD5" s="204">
        <v>2.4341241016922958E-3</v>
      </c>
      <c r="AE5" s="204">
        <v>0.10576848775210571</v>
      </c>
      <c r="AF5" s="204">
        <v>7.9379491538520974E-2</v>
      </c>
      <c r="AG5" s="204">
        <v>2.6273085542075575E-3</v>
      </c>
      <c r="AH5" s="204">
        <v>0.68335136388223472</v>
      </c>
      <c r="AI5" s="204">
        <v>2.3916235221389383E-2</v>
      </c>
      <c r="AJ5" s="204">
        <f>-87.7559693995827%</f>
        <v>-0.87755969399582701</v>
      </c>
      <c r="AK5" s="204">
        <v>0.12244030600417279</v>
      </c>
    </row>
    <row r="6" spans="1:37" ht="12.45" customHeight="1">
      <c r="A6" s="129" t="s">
        <v>174</v>
      </c>
      <c r="B6" s="105">
        <v>7894000</v>
      </c>
      <c r="C6" s="9">
        <v>2300000</v>
      </c>
      <c r="D6" s="9">
        <v>5594000</v>
      </c>
      <c r="E6" s="9">
        <v>692000</v>
      </c>
      <c r="F6" s="9">
        <v>10000</v>
      </c>
      <c r="G6" s="9">
        <v>1665000</v>
      </c>
      <c r="H6" s="9">
        <v>399000</v>
      </c>
      <c r="I6" s="9">
        <v>16000</v>
      </c>
      <c r="J6" s="9">
        <v>4943000</v>
      </c>
      <c r="K6" s="9">
        <v>169000</v>
      </c>
      <c r="L6" s="9">
        <v>7006000</v>
      </c>
      <c r="M6" s="9">
        <v>888000</v>
      </c>
      <c r="N6" s="229">
        <f t="shared" ref="N6:N40" si="1">C6/$B6</f>
        <v>0.29136052698251835</v>
      </c>
      <c r="O6" s="229">
        <f t="shared" ref="O6:X40" si="2">D6/$B6</f>
        <v>0.70863947301748165</v>
      </c>
      <c r="P6" s="229">
        <f t="shared" ref="P6:P39" si="3">E6/$B6</f>
        <v>8.7661515074740307E-2</v>
      </c>
      <c r="Q6" s="229">
        <f t="shared" ref="Q6:Q39" si="4">F6/$B6</f>
        <v>1.2667848999239929E-3</v>
      </c>
      <c r="R6" s="229">
        <f t="shared" ref="R6:R39" si="5">G6/$B6</f>
        <v>0.21091968583734483</v>
      </c>
      <c r="S6" s="229">
        <f t="shared" ref="S6:S39" si="6">H6/$B6</f>
        <v>5.0544717506967318E-2</v>
      </c>
      <c r="T6" s="229">
        <f t="shared" ref="T6:T39" si="7">I6/$B6</f>
        <v>2.0268558398783888E-3</v>
      </c>
      <c r="U6" s="229">
        <f t="shared" ref="U6:U39" si="8">J6/$B6</f>
        <v>0.62617177603242968</v>
      </c>
      <c r="V6" s="229">
        <f t="shared" ref="V6:V39" si="9">K6/$B6</f>
        <v>2.1408664808715481E-2</v>
      </c>
      <c r="W6" s="229">
        <f t="shared" ref="W6:W39" si="10">L6/$B6</f>
        <v>0.8875095008867494</v>
      </c>
      <c r="X6" s="229">
        <f t="shared" ref="X6:X39" si="11">M6/$B6</f>
        <v>0.11249049911325057</v>
      </c>
      <c r="AA6" s="204">
        <f>-29.1360526982518%</f>
        <v>-0.29136052698251796</v>
      </c>
      <c r="AB6" s="204">
        <v>0.70863947301748165</v>
      </c>
      <c r="AC6" s="204">
        <v>8.7661515074740307E-2</v>
      </c>
      <c r="AD6" s="204">
        <v>1.2667848999239929E-3</v>
      </c>
      <c r="AE6" s="204">
        <v>0.21091968583734483</v>
      </c>
      <c r="AF6" s="204">
        <f>-5.05447175069673%</f>
        <v>-5.0544717506967297E-2</v>
      </c>
      <c r="AG6" s="204">
        <f>-0.202685583987839%</f>
        <v>-2.0268558398783901E-3</v>
      </c>
      <c r="AH6" s="204">
        <f>-62.617177603243%</f>
        <v>-0.62617177603243002</v>
      </c>
      <c r="AI6" s="204">
        <v>2.1408664808715481E-2</v>
      </c>
      <c r="AJ6" s="204">
        <v>0.8875095008867494</v>
      </c>
      <c r="AK6" s="204">
        <f>-11.2490499113251%</f>
        <v>-0.112490499113251</v>
      </c>
    </row>
    <row r="7" spans="1:37" ht="12.45" customHeight="1">
      <c r="A7" s="130" t="s">
        <v>227</v>
      </c>
      <c r="B7" s="105">
        <v>794000</v>
      </c>
      <c r="C7" s="9">
        <v>367000</v>
      </c>
      <c r="D7" s="9">
        <v>427000</v>
      </c>
      <c r="E7" s="9">
        <v>72000</v>
      </c>
      <c r="F7" s="9">
        <v>2000</v>
      </c>
      <c r="G7" s="9">
        <v>167000</v>
      </c>
      <c r="H7" s="9">
        <v>32000</v>
      </c>
      <c r="I7" s="9">
        <v>1000</v>
      </c>
      <c r="J7" s="9">
        <v>501000</v>
      </c>
      <c r="K7" s="9">
        <v>19000</v>
      </c>
      <c r="L7" s="9">
        <v>708000</v>
      </c>
      <c r="M7" s="9">
        <v>86000</v>
      </c>
      <c r="N7" s="229">
        <f t="shared" si="1"/>
        <v>0.46221662468513852</v>
      </c>
      <c r="O7" s="229">
        <f t="shared" si="2"/>
        <v>0.53778337531486142</v>
      </c>
      <c r="P7" s="229">
        <f t="shared" si="3"/>
        <v>9.06801007556675E-2</v>
      </c>
      <c r="Q7" s="229">
        <f t="shared" si="4"/>
        <v>2.5188916876574307E-3</v>
      </c>
      <c r="R7" s="229">
        <f t="shared" si="5"/>
        <v>0.21032745591939547</v>
      </c>
      <c r="S7" s="229">
        <f t="shared" si="6"/>
        <v>4.0302267002518891E-2</v>
      </c>
      <c r="T7" s="229">
        <f t="shared" si="7"/>
        <v>1.2594458438287153E-3</v>
      </c>
      <c r="U7" s="229">
        <f t="shared" si="8"/>
        <v>0.63098236775818639</v>
      </c>
      <c r="V7" s="229">
        <f t="shared" si="9"/>
        <v>2.3929471032745592E-2</v>
      </c>
      <c r="W7" s="229">
        <f t="shared" si="10"/>
        <v>0.89168765743073053</v>
      </c>
      <c r="X7" s="229">
        <f t="shared" si="11"/>
        <v>0.10831234256926953</v>
      </c>
      <c r="AA7" s="204">
        <v>0.46221662468513852</v>
      </c>
      <c r="AB7" s="204">
        <f>-53.7783375314861%</f>
        <v>-0.53778337531486098</v>
      </c>
      <c r="AC7" s="204">
        <v>9.06801007556675E-2</v>
      </c>
      <c r="AD7" s="204">
        <v>2.5188916876574307E-3</v>
      </c>
      <c r="AE7" s="204">
        <v>0.21032745591939547</v>
      </c>
      <c r="AF7" s="204">
        <f>-4.03022670025189%</f>
        <v>-4.0302267002518904E-2</v>
      </c>
      <c r="AG7" s="204">
        <f>-0.125944584382872%</f>
        <v>-1.2594458438287201E-3</v>
      </c>
      <c r="AH7" s="204">
        <f>-63.0982367758186%</f>
        <v>-0.63098236775818595</v>
      </c>
      <c r="AI7" s="204">
        <v>2.3929471032745592E-2</v>
      </c>
      <c r="AJ7" s="204">
        <v>0.89168765743073053</v>
      </c>
      <c r="AK7" s="204">
        <f>-10.831234256927%</f>
        <v>-0.10831234256927001</v>
      </c>
    </row>
    <row r="8" spans="1:37" ht="12.45" customHeight="1">
      <c r="A8" s="130" t="s">
        <v>228</v>
      </c>
      <c r="B8" s="105">
        <v>4031000</v>
      </c>
      <c r="C8" s="9">
        <v>1053000</v>
      </c>
      <c r="D8" s="9">
        <v>2979000</v>
      </c>
      <c r="E8" s="9">
        <v>328000</v>
      </c>
      <c r="F8" s="9">
        <v>5000</v>
      </c>
      <c r="G8" s="9">
        <v>1064000</v>
      </c>
      <c r="H8" s="9">
        <v>242000</v>
      </c>
      <c r="I8" s="9">
        <v>6000</v>
      </c>
      <c r="J8" s="9">
        <v>2296000</v>
      </c>
      <c r="K8" s="9">
        <v>89000</v>
      </c>
      <c r="L8" s="9">
        <v>3558000</v>
      </c>
      <c r="M8" s="9">
        <v>473000</v>
      </c>
      <c r="N8" s="229">
        <f t="shared" si="1"/>
        <v>0.26122550235673531</v>
      </c>
      <c r="O8" s="229">
        <f t="shared" si="2"/>
        <v>0.73902257504341351</v>
      </c>
      <c r="P8" s="229">
        <f t="shared" si="3"/>
        <v>8.1369387248821631E-2</v>
      </c>
      <c r="Q8" s="229">
        <f t="shared" si="4"/>
        <v>1.2403870007442323E-3</v>
      </c>
      <c r="R8" s="229">
        <f t="shared" si="5"/>
        <v>0.26395435375837262</v>
      </c>
      <c r="S8" s="229">
        <f t="shared" si="6"/>
        <v>6.0034730836020837E-2</v>
      </c>
      <c r="T8" s="229">
        <f t="shared" si="7"/>
        <v>1.4884644008930786E-3</v>
      </c>
      <c r="U8" s="229">
        <f t="shared" si="8"/>
        <v>0.56958571074175146</v>
      </c>
      <c r="V8" s="229">
        <f t="shared" si="9"/>
        <v>2.2078888613247333E-2</v>
      </c>
      <c r="W8" s="229">
        <f t="shared" si="10"/>
        <v>0.88265938972959568</v>
      </c>
      <c r="X8" s="229">
        <f t="shared" si="11"/>
        <v>0.11734061027040436</v>
      </c>
      <c r="AA8" s="204">
        <f>-26.1225502356735%</f>
        <v>-0.26122550235673503</v>
      </c>
      <c r="AB8" s="204">
        <v>0.73902257504341351</v>
      </c>
      <c r="AC8" s="204">
        <f>-8.13693872488216%</f>
        <v>-8.1369387248821604E-2</v>
      </c>
      <c r="AD8" s="204">
        <f>-0.124038700074423%</f>
        <v>-1.2403870007442299E-3</v>
      </c>
      <c r="AE8" s="204">
        <v>0.26395435375837262</v>
      </c>
      <c r="AF8" s="204">
        <v>6.0034730836020837E-2</v>
      </c>
      <c r="AG8" s="204">
        <f>-0.148846440089308%</f>
        <v>-1.4884644008930801E-3</v>
      </c>
      <c r="AH8" s="204">
        <f>-56.9585710741751%</f>
        <v>-0.56958571074175102</v>
      </c>
      <c r="AI8" s="204">
        <v>2.2078888613247333E-2</v>
      </c>
      <c r="AJ8" s="204">
        <f>-88.2659389729596%</f>
        <v>-0.88265938972959601</v>
      </c>
      <c r="AK8" s="204">
        <v>0.11734061027040436</v>
      </c>
    </row>
    <row r="9" spans="1:37" ht="12.45" customHeight="1">
      <c r="A9" s="130" t="s">
        <v>229</v>
      </c>
      <c r="B9" s="105">
        <v>408000</v>
      </c>
      <c r="C9" s="9">
        <v>135000</v>
      </c>
      <c r="D9" s="9">
        <v>273000</v>
      </c>
      <c r="E9" s="9">
        <v>32000</v>
      </c>
      <c r="F9" s="9">
        <v>1000</v>
      </c>
      <c r="G9" s="9">
        <v>61000</v>
      </c>
      <c r="H9" s="9">
        <v>16000</v>
      </c>
      <c r="I9" s="13" t="s">
        <v>191</v>
      </c>
      <c r="J9" s="9">
        <v>288000</v>
      </c>
      <c r="K9" s="9">
        <v>9000</v>
      </c>
      <c r="L9" s="9">
        <v>358000</v>
      </c>
      <c r="M9" s="9">
        <v>50000</v>
      </c>
      <c r="N9" s="229">
        <f t="shared" si="1"/>
        <v>0.33088235294117646</v>
      </c>
      <c r="O9" s="229">
        <f t="shared" si="2"/>
        <v>0.66911764705882348</v>
      </c>
      <c r="P9" s="229">
        <f t="shared" si="3"/>
        <v>7.8431372549019607E-2</v>
      </c>
      <c r="Q9" s="229">
        <f t="shared" si="4"/>
        <v>2.4509803921568627E-3</v>
      </c>
      <c r="R9" s="229">
        <f t="shared" si="5"/>
        <v>0.14950980392156862</v>
      </c>
      <c r="S9" s="229">
        <f t="shared" si="6"/>
        <v>3.9215686274509803E-2</v>
      </c>
      <c r="T9" s="229" t="e">
        <f t="shared" si="7"/>
        <v>#VALUE!</v>
      </c>
      <c r="U9" s="229">
        <f t="shared" si="8"/>
        <v>0.70588235294117652</v>
      </c>
      <c r="V9" s="229">
        <f t="shared" si="9"/>
        <v>2.2058823529411766E-2</v>
      </c>
      <c r="W9" s="229">
        <f t="shared" si="10"/>
        <v>0.87745098039215685</v>
      </c>
      <c r="X9" s="229">
        <f t="shared" si="11"/>
        <v>0.12254901960784313</v>
      </c>
      <c r="AA9" s="204">
        <f>-33.0882352941176%</f>
        <v>-0.33088235294117602</v>
      </c>
      <c r="AB9" s="204">
        <v>0.66911764705882348</v>
      </c>
      <c r="AC9" s="204">
        <f>-7.84313725490196%</f>
        <v>-7.8431372549019593E-2</v>
      </c>
      <c r="AD9" s="204">
        <v>2.4509803921568627E-3</v>
      </c>
      <c r="AE9" s="204">
        <v>0.14950980392156862</v>
      </c>
      <c r="AF9" s="204">
        <f>-3.92156862745098%</f>
        <v>-3.9215686274509796E-2</v>
      </c>
      <c r="AG9" s="204" t="e">
        <v>#VALUE!</v>
      </c>
      <c r="AH9" s="204">
        <v>0.70588235294117652</v>
      </c>
      <c r="AI9" s="204">
        <v>2.2058823529411766E-2</v>
      </c>
      <c r="AJ9" s="204">
        <f>-87.7450980392157%</f>
        <v>-0.87745098039215708</v>
      </c>
      <c r="AK9" s="204">
        <v>0.12254901960784313</v>
      </c>
    </row>
    <row r="10" spans="1:37" ht="12.45" customHeight="1">
      <c r="A10" s="130" t="s">
        <v>230</v>
      </c>
      <c r="B10" s="105">
        <v>712000</v>
      </c>
      <c r="C10" s="9">
        <v>433000</v>
      </c>
      <c r="D10" s="9">
        <v>279000</v>
      </c>
      <c r="E10" s="9">
        <v>81000</v>
      </c>
      <c r="F10" s="9">
        <v>1000</v>
      </c>
      <c r="G10" s="9">
        <v>57000</v>
      </c>
      <c r="H10" s="9">
        <v>44000</v>
      </c>
      <c r="I10" s="13" t="s">
        <v>191</v>
      </c>
      <c r="J10" s="9">
        <v>513000</v>
      </c>
      <c r="K10" s="9">
        <v>16000</v>
      </c>
      <c r="L10" s="9">
        <v>623000</v>
      </c>
      <c r="M10" s="9">
        <v>89000</v>
      </c>
      <c r="N10" s="229">
        <f t="shared" si="1"/>
        <v>0.6081460674157303</v>
      </c>
      <c r="O10" s="229">
        <f t="shared" si="2"/>
        <v>0.39185393258426965</v>
      </c>
      <c r="P10" s="229">
        <f t="shared" si="3"/>
        <v>0.11376404494382023</v>
      </c>
      <c r="Q10" s="229">
        <f t="shared" si="4"/>
        <v>1.4044943820224719E-3</v>
      </c>
      <c r="R10" s="229">
        <f t="shared" si="5"/>
        <v>8.00561797752809E-2</v>
      </c>
      <c r="S10" s="229">
        <f t="shared" si="6"/>
        <v>6.1797752808988762E-2</v>
      </c>
      <c r="T10" s="229" t="e">
        <f t="shared" si="7"/>
        <v>#VALUE!</v>
      </c>
      <c r="U10" s="229">
        <f t="shared" si="8"/>
        <v>0.7205056179775281</v>
      </c>
      <c r="V10" s="229">
        <f t="shared" si="9"/>
        <v>2.247191011235955E-2</v>
      </c>
      <c r="W10" s="229">
        <f t="shared" si="10"/>
        <v>0.875</v>
      </c>
      <c r="X10" s="229">
        <f t="shared" si="11"/>
        <v>0.125</v>
      </c>
      <c r="AA10" s="204">
        <v>0.6081460674157303</v>
      </c>
      <c r="AB10" s="204">
        <f>-39.185393258427%</f>
        <v>-0.39185393258426998</v>
      </c>
      <c r="AC10" s="204">
        <v>0.11376404494382023</v>
      </c>
      <c r="AD10" s="204">
        <f>-0.140449438202247%</f>
        <v>-1.4044943820224701E-3</v>
      </c>
      <c r="AE10" s="204">
        <f>-8.00561797752809%</f>
        <v>-8.00561797752809E-2</v>
      </c>
      <c r="AF10" s="204">
        <v>6.1797752808988762E-2</v>
      </c>
      <c r="AG10" s="204" t="e">
        <v>#VALUE!</v>
      </c>
      <c r="AH10" s="204">
        <v>0.7205056179775281</v>
      </c>
      <c r="AI10" s="204">
        <v>2.247191011235955E-2</v>
      </c>
      <c r="AJ10" s="204">
        <f>-87.5%</f>
        <v>-0.875</v>
      </c>
      <c r="AK10" s="204">
        <v>0.125</v>
      </c>
    </row>
    <row r="11" spans="1:37" ht="12.45" customHeight="1">
      <c r="A11" s="130" t="s">
        <v>231</v>
      </c>
      <c r="B11" s="105">
        <v>1949000</v>
      </c>
      <c r="C11" s="9">
        <v>312000</v>
      </c>
      <c r="D11" s="9">
        <v>1636000</v>
      </c>
      <c r="E11" s="9">
        <v>178000</v>
      </c>
      <c r="F11" s="9">
        <v>2000</v>
      </c>
      <c r="G11" s="9">
        <v>316000</v>
      </c>
      <c r="H11" s="9">
        <v>65000</v>
      </c>
      <c r="I11" s="9">
        <v>7000</v>
      </c>
      <c r="J11" s="9">
        <v>1345000</v>
      </c>
      <c r="K11" s="9">
        <v>36000</v>
      </c>
      <c r="L11" s="9">
        <v>1758000</v>
      </c>
      <c r="M11" s="9">
        <v>191000</v>
      </c>
      <c r="N11" s="229">
        <f t="shared" si="1"/>
        <v>0.16008209338122115</v>
      </c>
      <c r="O11" s="229">
        <f t="shared" si="2"/>
        <v>0.83940482298614671</v>
      </c>
      <c r="P11" s="229">
        <f t="shared" si="3"/>
        <v>9.1328886608517193E-2</v>
      </c>
      <c r="Q11" s="229">
        <f t="shared" si="4"/>
        <v>1.026167265264238E-3</v>
      </c>
      <c r="R11" s="229">
        <f t="shared" si="5"/>
        <v>0.16213442791174962</v>
      </c>
      <c r="S11" s="229">
        <f t="shared" si="6"/>
        <v>3.3350436121087734E-2</v>
      </c>
      <c r="T11" s="229">
        <f t="shared" si="7"/>
        <v>3.5915854284248334E-3</v>
      </c>
      <c r="U11" s="229">
        <f t="shared" si="8"/>
        <v>0.69009748589020015</v>
      </c>
      <c r="V11" s="229">
        <f t="shared" si="9"/>
        <v>1.8471010774756286E-2</v>
      </c>
      <c r="W11" s="229">
        <f t="shared" si="10"/>
        <v>0.9020010261672653</v>
      </c>
      <c r="X11" s="229">
        <f t="shared" si="11"/>
        <v>9.7998973832734732E-2</v>
      </c>
      <c r="AA11" s="204">
        <f>-16.0082093381221%</f>
        <v>-0.16008209338122101</v>
      </c>
      <c r="AB11" s="204">
        <v>0.83940482298614671</v>
      </c>
      <c r="AC11" s="204">
        <v>9.1328886608517193E-2</v>
      </c>
      <c r="AD11" s="204">
        <f>-0.102616726526424%</f>
        <v>-1.02616726526424E-3</v>
      </c>
      <c r="AE11" s="204">
        <v>0.16213442791174962</v>
      </c>
      <c r="AF11" s="204">
        <f>-3.33504361210877%</f>
        <v>-3.33504361210877E-2</v>
      </c>
      <c r="AG11" s="204">
        <v>3.5915854284248334E-3</v>
      </c>
      <c r="AH11" s="204">
        <v>0.69009748589020015</v>
      </c>
      <c r="AI11" s="204">
        <f>-1.84710107747563%</f>
        <v>-1.84710107747563E-2</v>
      </c>
      <c r="AJ11" s="204">
        <v>0.9020010261672653</v>
      </c>
      <c r="AK11" s="204">
        <f>-9.79989738327347%</f>
        <v>-9.799897383273469E-2</v>
      </c>
    </row>
    <row r="12" spans="1:37" ht="12.45" customHeight="1">
      <c r="A12" s="129" t="s">
        <v>175</v>
      </c>
      <c r="B12" s="105">
        <v>9522000</v>
      </c>
      <c r="C12" s="9">
        <v>5494000</v>
      </c>
      <c r="D12" s="9">
        <v>4028000</v>
      </c>
      <c r="E12" s="9">
        <v>843000</v>
      </c>
      <c r="F12" s="9">
        <v>22000</v>
      </c>
      <c r="G12" s="9">
        <v>1264000</v>
      </c>
      <c r="H12" s="9">
        <v>756000</v>
      </c>
      <c r="I12" s="9">
        <v>36000</v>
      </c>
      <c r="J12" s="9">
        <v>6412000</v>
      </c>
      <c r="K12" s="9">
        <v>189000</v>
      </c>
      <c r="L12" s="9">
        <v>8534000</v>
      </c>
      <c r="M12" s="9">
        <v>987000</v>
      </c>
      <c r="N12" s="229">
        <f t="shared" si="1"/>
        <v>0.57697962612896447</v>
      </c>
      <c r="O12" s="229">
        <f t="shared" si="2"/>
        <v>0.42302037387103547</v>
      </c>
      <c r="P12" s="229">
        <f t="shared" si="3"/>
        <v>8.8531821045998743E-2</v>
      </c>
      <c r="Q12" s="229">
        <f t="shared" si="4"/>
        <v>2.3104389834068474E-3</v>
      </c>
      <c r="R12" s="229">
        <f t="shared" si="5"/>
        <v>0.1327452215921025</v>
      </c>
      <c r="S12" s="229">
        <f t="shared" si="6"/>
        <v>7.9395085066162566E-2</v>
      </c>
      <c r="T12" s="229">
        <f t="shared" si="7"/>
        <v>3.780718336483932E-3</v>
      </c>
      <c r="U12" s="229">
        <f t="shared" si="8"/>
        <v>0.67338794370930477</v>
      </c>
      <c r="V12" s="229">
        <f t="shared" si="9"/>
        <v>1.9848771266540641E-2</v>
      </c>
      <c r="W12" s="229">
        <f t="shared" si="10"/>
        <v>0.89624028565427427</v>
      </c>
      <c r="X12" s="229">
        <f t="shared" si="11"/>
        <v>0.10365469439193446</v>
      </c>
      <c r="AA12" s="204">
        <v>0.57697962612896447</v>
      </c>
      <c r="AB12" s="204">
        <f>-42.3020373871035%</f>
        <v>-0.42302037387103503</v>
      </c>
      <c r="AC12" s="204">
        <v>8.8531821045998743E-2</v>
      </c>
      <c r="AD12" s="204">
        <v>2.3104389834068474E-3</v>
      </c>
      <c r="AE12" s="204">
        <f>-13.2745221592102%</f>
        <v>-0.132745221592102</v>
      </c>
      <c r="AF12" s="204">
        <v>7.9395085066162566E-2</v>
      </c>
      <c r="AG12" s="204">
        <v>3.780718336483932E-3</v>
      </c>
      <c r="AH12" s="204">
        <v>0.67338794370930477</v>
      </c>
      <c r="AI12" s="204">
        <v>1.9848771266540641E-2</v>
      </c>
      <c r="AJ12" s="204">
        <v>0.89624028565427427</v>
      </c>
      <c r="AK12" s="204">
        <f>-10.3654694391934%</f>
        <v>-0.103654694391934</v>
      </c>
    </row>
    <row r="13" spans="1:37" ht="12.45" customHeight="1">
      <c r="A13" s="129" t="s">
        <v>176</v>
      </c>
      <c r="B13" s="105">
        <v>34349000</v>
      </c>
      <c r="C13" s="9">
        <v>18699000</v>
      </c>
      <c r="D13" s="9">
        <v>15649000</v>
      </c>
      <c r="E13" s="9">
        <v>3772000</v>
      </c>
      <c r="F13" s="9">
        <v>94000</v>
      </c>
      <c r="G13" s="9">
        <v>2546000</v>
      </c>
      <c r="H13" s="9">
        <v>2955000</v>
      </c>
      <c r="I13" s="9">
        <v>83000</v>
      </c>
      <c r="J13" s="9">
        <v>24018000</v>
      </c>
      <c r="K13" s="9">
        <v>880000</v>
      </c>
      <c r="L13" s="9">
        <v>29886000</v>
      </c>
      <c r="M13" s="9">
        <v>4462000</v>
      </c>
      <c r="N13" s="229">
        <f t="shared" si="1"/>
        <v>0.5443826603394567</v>
      </c>
      <c r="O13" s="229">
        <f t="shared" si="2"/>
        <v>0.45558822673149146</v>
      </c>
      <c r="P13" s="229">
        <f t="shared" si="3"/>
        <v>0.10981396838335905</v>
      </c>
      <c r="Q13" s="229">
        <f t="shared" si="4"/>
        <v>2.7366153308684385E-3</v>
      </c>
      <c r="R13" s="229">
        <f t="shared" si="5"/>
        <v>7.4121517365862186E-2</v>
      </c>
      <c r="S13" s="229">
        <f t="shared" si="6"/>
        <v>8.6028705348045062E-2</v>
      </c>
      <c r="T13" s="229">
        <f t="shared" si="7"/>
        <v>2.4163731112987279E-3</v>
      </c>
      <c r="U13" s="229">
        <f t="shared" si="8"/>
        <v>0.69923432996593782</v>
      </c>
      <c r="V13" s="229">
        <f t="shared" si="9"/>
        <v>2.5619377565576872E-2</v>
      </c>
      <c r="W13" s="229">
        <f t="shared" si="10"/>
        <v>0.87006899764185275</v>
      </c>
      <c r="X13" s="229">
        <f t="shared" si="11"/>
        <v>0.12990188942909547</v>
      </c>
      <c r="AA13" s="204">
        <v>0.5443826603394567</v>
      </c>
      <c r="AB13" s="204">
        <f>-45.5588226731491%</f>
        <v>-0.45558822673149102</v>
      </c>
      <c r="AC13" s="204">
        <v>0.10981396838335905</v>
      </c>
      <c r="AD13" s="204">
        <v>2.7366153308684385E-3</v>
      </c>
      <c r="AE13" s="204">
        <f>-7.41215173658622%</f>
        <v>-7.41215173658622E-2</v>
      </c>
      <c r="AF13" s="204">
        <v>8.6028705348045062E-2</v>
      </c>
      <c r="AG13" s="204">
        <v>2.4163731112987279E-3</v>
      </c>
      <c r="AH13" s="204">
        <v>0.69923432996593782</v>
      </c>
      <c r="AI13" s="204">
        <v>2.5619377565576872E-2</v>
      </c>
      <c r="AJ13" s="204">
        <f>-87.0068997641853%</f>
        <v>-0.87006899764185308</v>
      </c>
      <c r="AK13" s="204">
        <v>0.12990188942909547</v>
      </c>
    </row>
    <row r="14" spans="1:37" ht="12.45" customHeight="1">
      <c r="A14" s="125" t="s">
        <v>218</v>
      </c>
      <c r="B14" s="124">
        <v>31688000</v>
      </c>
      <c r="C14" s="119">
        <v>15827000</v>
      </c>
      <c r="D14" s="119">
        <v>15861000</v>
      </c>
      <c r="E14" s="119">
        <v>3497000</v>
      </c>
      <c r="F14" s="119">
        <v>64000</v>
      </c>
      <c r="G14" s="119">
        <v>2882000</v>
      </c>
      <c r="H14" s="119">
        <v>2410000</v>
      </c>
      <c r="I14" s="119">
        <v>97000</v>
      </c>
      <c r="J14" s="119">
        <v>21895000</v>
      </c>
      <c r="K14" s="119">
        <v>845000</v>
      </c>
      <c r="L14" s="119">
        <v>27506000</v>
      </c>
      <c r="M14" s="119">
        <v>4182000</v>
      </c>
      <c r="N14" s="232">
        <f t="shared" si="1"/>
        <v>0.49946351931330474</v>
      </c>
      <c r="O14" s="232">
        <f t="shared" si="2"/>
        <v>0.50053648068669532</v>
      </c>
      <c r="P14" s="232">
        <f t="shared" si="3"/>
        <v>0.11035723302196415</v>
      </c>
      <c r="Q14" s="232">
        <f t="shared" si="4"/>
        <v>2.019691996970462E-3</v>
      </c>
      <c r="R14" s="232">
        <f t="shared" si="5"/>
        <v>9.0949255238576124E-2</v>
      </c>
      <c r="S14" s="232">
        <f t="shared" si="6"/>
        <v>7.6054026760918964E-2</v>
      </c>
      <c r="T14" s="232">
        <f t="shared" si="7"/>
        <v>3.0610956829083564E-3</v>
      </c>
      <c r="U14" s="232">
        <f t="shared" si="8"/>
        <v>0.69095556677606662</v>
      </c>
      <c r="V14" s="232">
        <f t="shared" si="9"/>
        <v>2.6666245897500631E-2</v>
      </c>
      <c r="W14" s="232">
        <f t="shared" si="10"/>
        <v>0.86802575107296143</v>
      </c>
      <c r="X14" s="232">
        <f t="shared" si="11"/>
        <v>0.13197424892703863</v>
      </c>
      <c r="AA14" s="279">
        <v>0.49946351931330474</v>
      </c>
      <c r="AB14" s="279">
        <f>-50.0536480686695%</f>
        <v>-0.50053648068669498</v>
      </c>
      <c r="AC14" s="279">
        <v>0.11035723302196415</v>
      </c>
      <c r="AD14" s="279">
        <v>2.019691996970462E-3</v>
      </c>
      <c r="AE14" s="279">
        <f>-9.09492552385761%</f>
        <v>-9.0949255238576096E-2</v>
      </c>
      <c r="AF14" s="279">
        <v>7.6054026760918964E-2</v>
      </c>
      <c r="AG14" s="279">
        <v>3.0610956829083564E-3</v>
      </c>
      <c r="AH14" s="279">
        <v>0.69095556677606662</v>
      </c>
      <c r="AI14" s="279">
        <v>2.6666245897500631E-2</v>
      </c>
      <c r="AJ14" s="279">
        <f>-86.8025751072961%</f>
        <v>-0.86802575107296098</v>
      </c>
      <c r="AK14" s="279">
        <v>0.13197424892703863</v>
      </c>
    </row>
    <row r="15" spans="1:37" ht="12.45" customHeight="1">
      <c r="A15" s="120" t="s">
        <v>174</v>
      </c>
      <c r="B15" s="105">
        <v>4438000</v>
      </c>
      <c r="C15" s="9">
        <v>1099000</v>
      </c>
      <c r="D15" s="9">
        <v>3339000</v>
      </c>
      <c r="E15" s="9">
        <v>438000</v>
      </c>
      <c r="F15" s="9">
        <v>8000</v>
      </c>
      <c r="G15" s="9">
        <v>683000</v>
      </c>
      <c r="H15" s="9">
        <v>238000</v>
      </c>
      <c r="I15" s="9">
        <v>11000</v>
      </c>
      <c r="J15" s="9">
        <v>2947000</v>
      </c>
      <c r="K15" s="9">
        <v>114000</v>
      </c>
      <c r="L15" s="9">
        <v>3885000</v>
      </c>
      <c r="M15" s="9">
        <v>553000</v>
      </c>
      <c r="N15" s="229">
        <f t="shared" si="1"/>
        <v>0.2476340694006309</v>
      </c>
      <c r="O15" s="229">
        <f t="shared" si="2"/>
        <v>0.75236593059936907</v>
      </c>
      <c r="P15" s="229">
        <f t="shared" si="3"/>
        <v>9.869310500225327E-2</v>
      </c>
      <c r="Q15" s="229">
        <f t="shared" si="4"/>
        <v>1.8026137899954935E-3</v>
      </c>
      <c r="R15" s="229">
        <f t="shared" si="5"/>
        <v>0.15389815232086526</v>
      </c>
      <c r="S15" s="229">
        <f t="shared" si="6"/>
        <v>5.362776025236593E-2</v>
      </c>
      <c r="T15" s="229">
        <f t="shared" si="7"/>
        <v>2.4785939612438036E-3</v>
      </c>
      <c r="U15" s="229">
        <f t="shared" si="8"/>
        <v>0.66403785488958988</v>
      </c>
      <c r="V15" s="229">
        <f t="shared" si="9"/>
        <v>2.5687246507435781E-2</v>
      </c>
      <c r="W15" s="229">
        <f t="shared" si="10"/>
        <v>0.87539432176656151</v>
      </c>
      <c r="X15" s="229">
        <f t="shared" si="11"/>
        <v>0.12460567823343849</v>
      </c>
      <c r="AA15" s="204">
        <f>-24.7634069400631%</f>
        <v>-0.24763406940063099</v>
      </c>
      <c r="AB15" s="204">
        <v>0.75236593059936907</v>
      </c>
      <c r="AC15" s="204">
        <v>9.869310500225327E-2</v>
      </c>
      <c r="AD15" s="204">
        <f>-0.180261378999549%</f>
        <v>-1.80261378999549E-3</v>
      </c>
      <c r="AE15" s="204">
        <v>0.15389815232086526</v>
      </c>
      <c r="AF15" s="204">
        <v>5.362776025236593E-2</v>
      </c>
      <c r="AG15" s="204">
        <v>2.4785939612438036E-3</v>
      </c>
      <c r="AH15" s="204">
        <v>0.66403785488958988</v>
      </c>
      <c r="AI15" s="204">
        <v>2.5687246507435781E-2</v>
      </c>
      <c r="AJ15" s="204">
        <f>-87.5394321766561%</f>
        <v>-0.87539432176656107</v>
      </c>
      <c r="AK15" s="204">
        <v>0.12460567823343849</v>
      </c>
    </row>
    <row r="16" spans="1:37" ht="12.45" customHeight="1">
      <c r="A16" s="157" t="s">
        <v>227</v>
      </c>
      <c r="B16" s="105">
        <v>295000</v>
      </c>
      <c r="C16" s="9">
        <v>140000</v>
      </c>
      <c r="D16" s="9">
        <v>155000</v>
      </c>
      <c r="E16" s="9">
        <v>36000</v>
      </c>
      <c r="F16" s="13" t="s">
        <v>191</v>
      </c>
      <c r="G16" s="9">
        <v>34000</v>
      </c>
      <c r="H16" s="9">
        <v>16000</v>
      </c>
      <c r="I16" s="9">
        <v>1000</v>
      </c>
      <c r="J16" s="9">
        <v>201000</v>
      </c>
      <c r="K16" s="9">
        <v>6000</v>
      </c>
      <c r="L16" s="9">
        <v>254000</v>
      </c>
      <c r="M16" s="9">
        <v>41000</v>
      </c>
      <c r="N16" s="229">
        <f t="shared" si="1"/>
        <v>0.47457627118644069</v>
      </c>
      <c r="O16" s="229">
        <f t="shared" si="2"/>
        <v>0.52542372881355937</v>
      </c>
      <c r="P16" s="229">
        <f t="shared" si="3"/>
        <v>0.12203389830508475</v>
      </c>
      <c r="Q16" s="229" t="e">
        <f t="shared" si="4"/>
        <v>#VALUE!</v>
      </c>
      <c r="R16" s="229">
        <f t="shared" si="5"/>
        <v>0.11525423728813559</v>
      </c>
      <c r="S16" s="229">
        <f t="shared" si="6"/>
        <v>5.4237288135593219E-2</v>
      </c>
      <c r="T16" s="229">
        <f t="shared" si="7"/>
        <v>3.3898305084745762E-3</v>
      </c>
      <c r="U16" s="229">
        <f t="shared" si="8"/>
        <v>0.68135593220338986</v>
      </c>
      <c r="V16" s="229">
        <f t="shared" si="9"/>
        <v>2.0338983050847456E-2</v>
      </c>
      <c r="W16" s="229">
        <f t="shared" si="10"/>
        <v>0.86101694915254234</v>
      </c>
      <c r="X16" s="229">
        <f t="shared" si="11"/>
        <v>0.13898305084745763</v>
      </c>
      <c r="AA16" s="204">
        <v>0.47457627118644069</v>
      </c>
      <c r="AB16" s="204">
        <f>-52.5423728813559%</f>
        <v>-0.52542372881355903</v>
      </c>
      <c r="AC16" s="204">
        <v>0.12203389830508475</v>
      </c>
      <c r="AD16" s="204" t="e">
        <v>#VALUE!</v>
      </c>
      <c r="AE16" s="204">
        <f>-11.5254237288136%</f>
        <v>-0.115254237288136</v>
      </c>
      <c r="AF16" s="204">
        <v>5.4237288135593219E-2</v>
      </c>
      <c r="AG16" s="204">
        <v>3.3898305084745762E-3</v>
      </c>
      <c r="AH16" s="204">
        <v>0.68135593220338986</v>
      </c>
      <c r="AI16" s="204">
        <v>2.0338983050847456E-2</v>
      </c>
      <c r="AJ16" s="204">
        <f>-86.1016949152542%</f>
        <v>-0.86101694915254201</v>
      </c>
      <c r="AK16" s="204">
        <v>0.13898305084745763</v>
      </c>
    </row>
    <row r="17" spans="1:37" ht="12.45" customHeight="1">
      <c r="A17" s="121" t="s">
        <v>228</v>
      </c>
      <c r="B17" s="105">
        <v>2574000</v>
      </c>
      <c r="C17" s="9">
        <v>612000</v>
      </c>
      <c r="D17" s="9">
        <v>1961000</v>
      </c>
      <c r="E17" s="9">
        <v>237000</v>
      </c>
      <c r="F17" s="9">
        <v>4000</v>
      </c>
      <c r="G17" s="9">
        <v>492000</v>
      </c>
      <c r="H17" s="9">
        <v>166000</v>
      </c>
      <c r="I17" s="9">
        <v>4000</v>
      </c>
      <c r="J17" s="9">
        <v>1599000</v>
      </c>
      <c r="K17" s="9">
        <v>71000</v>
      </c>
      <c r="L17" s="9">
        <v>2246000</v>
      </c>
      <c r="M17" s="9">
        <v>328000</v>
      </c>
      <c r="N17" s="229">
        <f t="shared" si="1"/>
        <v>0.23776223776223776</v>
      </c>
      <c r="O17" s="229">
        <f t="shared" si="2"/>
        <v>0.76184926184926183</v>
      </c>
      <c r="P17" s="229">
        <f t="shared" si="3"/>
        <v>9.2074592074592079E-2</v>
      </c>
      <c r="Q17" s="229">
        <f t="shared" si="4"/>
        <v>1.554001554001554E-3</v>
      </c>
      <c r="R17" s="229">
        <f t="shared" si="5"/>
        <v>0.19114219114219114</v>
      </c>
      <c r="S17" s="229">
        <f t="shared" si="6"/>
        <v>6.4491064491064495E-2</v>
      </c>
      <c r="T17" s="229">
        <f t="shared" si="7"/>
        <v>1.554001554001554E-3</v>
      </c>
      <c r="U17" s="229">
        <f t="shared" si="8"/>
        <v>0.62121212121212122</v>
      </c>
      <c r="V17" s="229">
        <f t="shared" si="9"/>
        <v>2.7583527583527584E-2</v>
      </c>
      <c r="W17" s="229">
        <f t="shared" si="10"/>
        <v>0.87257187257187252</v>
      </c>
      <c r="X17" s="229">
        <f t="shared" si="11"/>
        <v>0.12742812742812742</v>
      </c>
      <c r="AA17" s="204">
        <f>-23.7762237762238%</f>
        <v>-0.23776223776223801</v>
      </c>
      <c r="AB17" s="204">
        <v>0.76184926184926183</v>
      </c>
      <c r="AC17" s="204">
        <v>9.2074592074592079E-2</v>
      </c>
      <c r="AD17" s="204">
        <f>-0.155400155400155%</f>
        <v>-1.5540015540015501E-3</v>
      </c>
      <c r="AE17" s="204">
        <v>0.19114219114219114</v>
      </c>
      <c r="AF17" s="204">
        <v>6.4491064491064495E-2</v>
      </c>
      <c r="AG17" s="204">
        <f>-0.155400155400155%</f>
        <v>-1.5540015540015501E-3</v>
      </c>
      <c r="AH17" s="204">
        <f>-62.1212121212121%</f>
        <v>-0.62121212121212099</v>
      </c>
      <c r="AI17" s="204">
        <v>2.7583527583527584E-2</v>
      </c>
      <c r="AJ17" s="204">
        <f>-87.2571872571873%</f>
        <v>-0.87257187257187296</v>
      </c>
      <c r="AK17" s="204">
        <v>0.12742812742812742</v>
      </c>
    </row>
    <row r="18" spans="1:37" ht="12.45" customHeight="1">
      <c r="A18" s="121" t="s">
        <v>229</v>
      </c>
      <c r="B18" s="105">
        <v>177000</v>
      </c>
      <c r="C18" s="9">
        <v>62000</v>
      </c>
      <c r="D18" s="9">
        <v>116000</v>
      </c>
      <c r="E18" s="9">
        <v>17000</v>
      </c>
      <c r="F18" s="13" t="s">
        <v>222</v>
      </c>
      <c r="G18" s="9">
        <v>17000</v>
      </c>
      <c r="H18" s="9">
        <v>7000</v>
      </c>
      <c r="I18" s="13" t="s">
        <v>222</v>
      </c>
      <c r="J18" s="9">
        <v>129000</v>
      </c>
      <c r="K18" s="9">
        <v>6000</v>
      </c>
      <c r="L18" s="9">
        <v>152000</v>
      </c>
      <c r="M18" s="9">
        <v>25000</v>
      </c>
      <c r="N18" s="229">
        <f t="shared" si="1"/>
        <v>0.35028248587570621</v>
      </c>
      <c r="O18" s="229">
        <f t="shared" si="2"/>
        <v>0.65536723163841804</v>
      </c>
      <c r="P18" s="229">
        <f t="shared" si="3"/>
        <v>9.6045197740112997E-2</v>
      </c>
      <c r="Q18" s="229" t="e">
        <f t="shared" si="4"/>
        <v>#VALUE!</v>
      </c>
      <c r="R18" s="229">
        <f t="shared" si="5"/>
        <v>9.6045197740112997E-2</v>
      </c>
      <c r="S18" s="229">
        <f t="shared" si="6"/>
        <v>3.954802259887006E-2</v>
      </c>
      <c r="T18" s="229" t="e">
        <f t="shared" si="7"/>
        <v>#VALUE!</v>
      </c>
      <c r="U18" s="229">
        <f t="shared" si="8"/>
        <v>0.72881355932203384</v>
      </c>
      <c r="V18" s="229">
        <f t="shared" si="9"/>
        <v>3.3898305084745763E-2</v>
      </c>
      <c r="W18" s="229">
        <f t="shared" si="10"/>
        <v>0.85875706214689262</v>
      </c>
      <c r="X18" s="229">
        <f t="shared" si="11"/>
        <v>0.14124293785310735</v>
      </c>
      <c r="AA18" s="204">
        <f>-35.0282485875706%</f>
        <v>-0.35028248587570604</v>
      </c>
      <c r="AB18" s="204">
        <v>0.65536723163841804</v>
      </c>
      <c r="AC18" s="204">
        <v>9.6045197740112997E-2</v>
      </c>
      <c r="AD18" s="204" t="e">
        <v>#VALUE!</v>
      </c>
      <c r="AE18" s="204">
        <f>-9.6045197740113%</f>
        <v>-9.6045197740112997E-2</v>
      </c>
      <c r="AF18" s="204">
        <f>-3.95480225988701%</f>
        <v>-3.9548022598870101E-2</v>
      </c>
      <c r="AG18" s="204" t="e">
        <v>#VALUE!</v>
      </c>
      <c r="AH18" s="204">
        <v>0.72881355932203384</v>
      </c>
      <c r="AI18" s="204">
        <v>3.3898305084745763E-2</v>
      </c>
      <c r="AJ18" s="204">
        <f>-85.8757062146893%</f>
        <v>-0.85875706214689307</v>
      </c>
      <c r="AK18" s="204">
        <v>0.14124293785310735</v>
      </c>
    </row>
    <row r="19" spans="1:37" ht="12.45" customHeight="1">
      <c r="A19" s="121" t="s">
        <v>230</v>
      </c>
      <c r="B19" s="105">
        <v>170000</v>
      </c>
      <c r="C19" s="9">
        <v>106000</v>
      </c>
      <c r="D19" s="9">
        <v>64000</v>
      </c>
      <c r="E19" s="9">
        <v>23000</v>
      </c>
      <c r="F19" s="13" t="s">
        <v>220</v>
      </c>
      <c r="G19" s="9">
        <v>15000</v>
      </c>
      <c r="H19" s="9">
        <v>7000</v>
      </c>
      <c r="I19" s="13" t="s">
        <v>220</v>
      </c>
      <c r="J19" s="9">
        <v>118000</v>
      </c>
      <c r="K19" s="13" t="s">
        <v>191</v>
      </c>
      <c r="L19" s="9">
        <v>152000</v>
      </c>
      <c r="M19" s="9">
        <v>18000</v>
      </c>
      <c r="N19" s="229">
        <f t="shared" si="1"/>
        <v>0.62352941176470589</v>
      </c>
      <c r="O19" s="229">
        <f t="shared" si="2"/>
        <v>0.37647058823529411</v>
      </c>
      <c r="P19" s="229">
        <f t="shared" si="3"/>
        <v>0.13529411764705881</v>
      </c>
      <c r="Q19" s="229" t="e">
        <f t="shared" si="4"/>
        <v>#VALUE!</v>
      </c>
      <c r="R19" s="229">
        <f t="shared" si="5"/>
        <v>8.8235294117647065E-2</v>
      </c>
      <c r="S19" s="229">
        <f t="shared" si="6"/>
        <v>4.1176470588235294E-2</v>
      </c>
      <c r="T19" s="229" t="e">
        <f t="shared" si="7"/>
        <v>#VALUE!</v>
      </c>
      <c r="U19" s="229">
        <f t="shared" si="8"/>
        <v>0.69411764705882351</v>
      </c>
      <c r="V19" s="229" t="e">
        <f t="shared" si="9"/>
        <v>#VALUE!</v>
      </c>
      <c r="W19" s="229">
        <f t="shared" si="10"/>
        <v>0.89411764705882357</v>
      </c>
      <c r="X19" s="229">
        <f t="shared" si="11"/>
        <v>0.10588235294117647</v>
      </c>
      <c r="AA19" s="204">
        <v>0.62352941176470589</v>
      </c>
      <c r="AB19" s="204">
        <f>-37.6470588235294%</f>
        <v>-0.376470588235294</v>
      </c>
      <c r="AC19" s="204">
        <v>0.13529411764705881</v>
      </c>
      <c r="AD19" s="204" t="e">
        <v>#VALUE!</v>
      </c>
      <c r="AE19" s="204">
        <f>-8.82352941176471%</f>
        <v>-8.8235294117647106E-2</v>
      </c>
      <c r="AF19" s="204">
        <f>-4.11764705882353%</f>
        <v>-4.11764705882353E-2</v>
      </c>
      <c r="AG19" s="204" t="e">
        <v>#VALUE!</v>
      </c>
      <c r="AH19" s="204">
        <v>0.69411764705882351</v>
      </c>
      <c r="AI19" s="204" t="e">
        <v>#VALUE!</v>
      </c>
      <c r="AJ19" s="204">
        <v>0.89411764705882357</v>
      </c>
      <c r="AK19" s="204">
        <f>-10.5882352941176%</f>
        <v>-0.10588235294117601</v>
      </c>
    </row>
    <row r="20" spans="1:37" ht="12.45" customHeight="1">
      <c r="A20" s="121" t="s">
        <v>231</v>
      </c>
      <c r="B20" s="105">
        <v>1222000</v>
      </c>
      <c r="C20" s="9">
        <v>179000</v>
      </c>
      <c r="D20" s="9">
        <v>1043000</v>
      </c>
      <c r="E20" s="9">
        <v>125000</v>
      </c>
      <c r="F20" s="9">
        <v>2000</v>
      </c>
      <c r="G20" s="9">
        <v>125000</v>
      </c>
      <c r="H20" s="9">
        <v>42000</v>
      </c>
      <c r="I20" s="9">
        <v>5000</v>
      </c>
      <c r="J20" s="9">
        <v>899000</v>
      </c>
      <c r="K20" s="9">
        <v>24000</v>
      </c>
      <c r="L20" s="9">
        <v>1081000</v>
      </c>
      <c r="M20" s="9">
        <v>141000</v>
      </c>
      <c r="N20" s="229">
        <f t="shared" si="1"/>
        <v>0.14648117839607203</v>
      </c>
      <c r="O20" s="229">
        <f t="shared" si="2"/>
        <v>0.853518821603928</v>
      </c>
      <c r="P20" s="229">
        <f t="shared" si="3"/>
        <v>0.10229132569558101</v>
      </c>
      <c r="Q20" s="229">
        <f t="shared" si="4"/>
        <v>1.6366612111292963E-3</v>
      </c>
      <c r="R20" s="229">
        <f t="shared" si="5"/>
        <v>0.10229132569558101</v>
      </c>
      <c r="S20" s="229">
        <f t="shared" si="6"/>
        <v>3.4369885433715219E-2</v>
      </c>
      <c r="T20" s="229">
        <f t="shared" si="7"/>
        <v>4.0916530278232409E-3</v>
      </c>
      <c r="U20" s="229">
        <f t="shared" si="8"/>
        <v>0.73567921440261863</v>
      </c>
      <c r="V20" s="229">
        <f t="shared" si="9"/>
        <v>1.9639934533551555E-2</v>
      </c>
      <c r="W20" s="229">
        <f t="shared" si="10"/>
        <v>0.88461538461538458</v>
      </c>
      <c r="X20" s="229">
        <f t="shared" si="11"/>
        <v>0.11538461538461539</v>
      </c>
      <c r="AA20" s="204">
        <f>-14.6481178396072%</f>
        <v>-0.146481178396072</v>
      </c>
      <c r="AB20" s="204">
        <v>0.853518821603928</v>
      </c>
      <c r="AC20" s="204">
        <v>0.10229132569558101</v>
      </c>
      <c r="AD20" s="204">
        <f>-0.16366612111293%</f>
        <v>-1.6366612111293E-3</v>
      </c>
      <c r="AE20" s="204">
        <f>-10.2291325695581%</f>
        <v>-0.102291325695581</v>
      </c>
      <c r="AF20" s="204">
        <f>-3.43698854337152%</f>
        <v>-3.4369885433715198E-2</v>
      </c>
      <c r="AG20" s="204">
        <v>4.0916530278232409E-3</v>
      </c>
      <c r="AH20" s="204">
        <v>0.73567921440261863</v>
      </c>
      <c r="AI20" s="204">
        <v>1.9639934533551555E-2</v>
      </c>
      <c r="AJ20" s="204">
        <v>0.88461538461538458</v>
      </c>
      <c r="AK20" s="204">
        <v>0.11538461538461539</v>
      </c>
    </row>
    <row r="21" spans="1:37" ht="12.45" customHeight="1">
      <c r="A21" s="120" t="s">
        <v>175</v>
      </c>
      <c r="B21" s="105">
        <v>5031000</v>
      </c>
      <c r="C21" s="9">
        <v>3044000</v>
      </c>
      <c r="D21" s="9">
        <v>1988000</v>
      </c>
      <c r="E21" s="9">
        <v>498000</v>
      </c>
      <c r="F21" s="9">
        <v>12000</v>
      </c>
      <c r="G21" s="9">
        <v>646000</v>
      </c>
      <c r="H21" s="9">
        <v>378000</v>
      </c>
      <c r="I21" s="9">
        <v>27000</v>
      </c>
      <c r="J21" s="9">
        <v>3372000</v>
      </c>
      <c r="K21" s="9">
        <v>98000</v>
      </c>
      <c r="L21" s="9">
        <v>4435000</v>
      </c>
      <c r="M21" s="9">
        <v>597000</v>
      </c>
      <c r="N21" s="229">
        <f t="shared" si="1"/>
        <v>0.60504869807195394</v>
      </c>
      <c r="O21" s="229">
        <f t="shared" si="2"/>
        <v>0.39515006956867421</v>
      </c>
      <c r="P21" s="229">
        <f t="shared" si="3"/>
        <v>9.8986285032796661E-2</v>
      </c>
      <c r="Q21" s="229">
        <f t="shared" si="4"/>
        <v>2.3852116875372688E-3</v>
      </c>
      <c r="R21" s="229">
        <f t="shared" si="5"/>
        <v>0.12840389584575632</v>
      </c>
      <c r="S21" s="229">
        <f t="shared" si="6"/>
        <v>7.5134168157423978E-2</v>
      </c>
      <c r="T21" s="229">
        <f t="shared" si="7"/>
        <v>5.3667262969588547E-3</v>
      </c>
      <c r="U21" s="229">
        <f t="shared" si="8"/>
        <v>0.67024448419797256</v>
      </c>
      <c r="V21" s="229">
        <f t="shared" si="9"/>
        <v>1.9479228781554364E-2</v>
      </c>
      <c r="W21" s="229">
        <f t="shared" si="10"/>
        <v>0.881534486185649</v>
      </c>
      <c r="X21" s="229">
        <f t="shared" si="11"/>
        <v>0.11866428145497913</v>
      </c>
      <c r="AA21" s="204">
        <v>0.60504869807195394</v>
      </c>
      <c r="AB21" s="204">
        <f>-39.5150069568674%</f>
        <v>-0.39515006956867404</v>
      </c>
      <c r="AC21" s="204">
        <v>9.8986285032796661E-2</v>
      </c>
      <c r="AD21" s="204">
        <v>2.3852116875372688E-3</v>
      </c>
      <c r="AE21" s="204">
        <f>-12.8403895845756%</f>
        <v>-0.12840389584575601</v>
      </c>
      <c r="AF21" s="204">
        <v>7.5134168157423978E-2</v>
      </c>
      <c r="AG21" s="204">
        <v>5.3667262969588547E-3</v>
      </c>
      <c r="AH21" s="204">
        <v>0.67024448419797256</v>
      </c>
      <c r="AI21" s="204">
        <v>1.9479228781554364E-2</v>
      </c>
      <c r="AJ21" s="204">
        <f>-88.1534486185649%</f>
        <v>-0.88153448618564889</v>
      </c>
      <c r="AK21" s="204">
        <v>0.11866428145497913</v>
      </c>
    </row>
    <row r="22" spans="1:37" ht="12.45" customHeight="1">
      <c r="A22" s="120" t="s">
        <v>176</v>
      </c>
      <c r="B22" s="105">
        <v>22219000</v>
      </c>
      <c r="C22" s="9">
        <v>11685000</v>
      </c>
      <c r="D22" s="9">
        <v>10534000</v>
      </c>
      <c r="E22" s="9">
        <v>2561000</v>
      </c>
      <c r="F22" s="9">
        <v>45000</v>
      </c>
      <c r="G22" s="9">
        <v>1553000</v>
      </c>
      <c r="H22" s="9">
        <v>1794000</v>
      </c>
      <c r="I22" s="9">
        <v>58000</v>
      </c>
      <c r="J22" s="9">
        <v>15576000</v>
      </c>
      <c r="K22" s="9">
        <v>632000</v>
      </c>
      <c r="L22" s="9">
        <v>19186000</v>
      </c>
      <c r="M22" s="9">
        <v>3032000</v>
      </c>
      <c r="N22" s="229">
        <f t="shared" si="1"/>
        <v>0.52590125568207391</v>
      </c>
      <c r="O22" s="229">
        <f t="shared" si="2"/>
        <v>0.47409874431792609</v>
      </c>
      <c r="P22" s="229">
        <f t="shared" si="3"/>
        <v>0.11526171294837752</v>
      </c>
      <c r="Q22" s="229">
        <f t="shared" si="4"/>
        <v>2.0252936675817994E-3</v>
      </c>
      <c r="R22" s="229">
        <f t="shared" si="5"/>
        <v>6.9895134794545205E-2</v>
      </c>
      <c r="S22" s="229">
        <f t="shared" si="6"/>
        <v>8.0741707547594396E-2</v>
      </c>
      <c r="T22" s="229">
        <f t="shared" si="7"/>
        <v>2.6103785048832082E-3</v>
      </c>
      <c r="U22" s="229">
        <f t="shared" si="8"/>
        <v>0.70102164813898016</v>
      </c>
      <c r="V22" s="229">
        <f t="shared" si="9"/>
        <v>2.8444124398037715E-2</v>
      </c>
      <c r="W22" s="229">
        <f t="shared" si="10"/>
        <v>0.8634952068049867</v>
      </c>
      <c r="X22" s="229">
        <f t="shared" si="11"/>
        <v>0.13645978666906702</v>
      </c>
      <c r="AA22" s="204">
        <v>0.52590125568207391</v>
      </c>
      <c r="AB22" s="204">
        <f>-47.4098744317926%</f>
        <v>-0.47409874431792604</v>
      </c>
      <c r="AC22" s="204">
        <v>0.11526171294837752</v>
      </c>
      <c r="AD22" s="204">
        <v>2.0252936675817994E-3</v>
      </c>
      <c r="AE22" s="204">
        <f>-6.98951347945452%</f>
        <v>-6.9895134794545205E-2</v>
      </c>
      <c r="AF22" s="204">
        <v>8.0741707547594396E-2</v>
      </c>
      <c r="AG22" s="204">
        <v>2.6103785048832082E-3</v>
      </c>
      <c r="AH22" s="204">
        <v>0.70102164813898016</v>
      </c>
      <c r="AI22" s="204">
        <v>2.8444124398037715E-2</v>
      </c>
      <c r="AJ22" s="204">
        <f>-86.3495206804987%</f>
        <v>-0.86349520680498704</v>
      </c>
      <c r="AK22" s="204">
        <v>0.13645978666906702</v>
      </c>
    </row>
    <row r="23" spans="1:37" ht="12.45" customHeight="1">
      <c r="A23" s="114" t="s">
        <v>219</v>
      </c>
      <c r="B23" s="144">
        <v>14688000</v>
      </c>
      <c r="C23" s="143">
        <v>8314000</v>
      </c>
      <c r="D23" s="143">
        <v>6375000</v>
      </c>
      <c r="E23" s="143">
        <v>1337000</v>
      </c>
      <c r="F23" s="143">
        <v>50000</v>
      </c>
      <c r="G23" s="143">
        <v>1828000</v>
      </c>
      <c r="H23" s="143">
        <v>1337000</v>
      </c>
      <c r="I23" s="143">
        <v>34000</v>
      </c>
      <c r="J23" s="143">
        <v>9797000</v>
      </c>
      <c r="K23" s="143">
        <v>305000</v>
      </c>
      <c r="L23" s="143">
        <v>13079000</v>
      </c>
      <c r="M23" s="143">
        <v>1609000</v>
      </c>
      <c r="N23" s="231">
        <f t="shared" si="1"/>
        <v>0.5660403050108932</v>
      </c>
      <c r="O23" s="231">
        <f t="shared" si="2"/>
        <v>0.43402777777777779</v>
      </c>
      <c r="P23" s="231">
        <f t="shared" si="3"/>
        <v>9.1026688453159046E-2</v>
      </c>
      <c r="Q23" s="231">
        <f t="shared" si="4"/>
        <v>3.4041394335511985E-3</v>
      </c>
      <c r="R23" s="231">
        <f t="shared" si="5"/>
        <v>0.12445533769063181</v>
      </c>
      <c r="S23" s="231">
        <f t="shared" si="6"/>
        <v>9.1026688453159046E-2</v>
      </c>
      <c r="T23" s="231">
        <f t="shared" si="7"/>
        <v>2.3148148148148147E-3</v>
      </c>
      <c r="U23" s="231">
        <f t="shared" si="8"/>
        <v>0.66700708061002179</v>
      </c>
      <c r="V23" s="231">
        <f t="shared" si="9"/>
        <v>2.0765250544662311E-2</v>
      </c>
      <c r="W23" s="231">
        <f t="shared" si="10"/>
        <v>0.89045479302832242</v>
      </c>
      <c r="X23" s="231">
        <f t="shared" si="11"/>
        <v>0.10954520697167756</v>
      </c>
      <c r="AA23" s="281">
        <v>0.5660403050108932</v>
      </c>
      <c r="AB23" s="281">
        <f>-43.4027777777778%</f>
        <v>-0.43402777777777801</v>
      </c>
      <c r="AC23" s="281">
        <v>9.1026688453159046E-2</v>
      </c>
      <c r="AD23" s="281">
        <v>3.4041394335511985E-3</v>
      </c>
      <c r="AE23" s="281">
        <f>-12.4455337690632%</f>
        <v>-0.124455337690632</v>
      </c>
      <c r="AF23" s="281">
        <v>9.1026688453159046E-2</v>
      </c>
      <c r="AG23" s="281">
        <v>2.3148148148148147E-3</v>
      </c>
      <c r="AH23" s="281">
        <v>0.66700708061002179</v>
      </c>
      <c r="AI23" s="281">
        <v>2.0765250544662311E-2</v>
      </c>
      <c r="AJ23" s="281">
        <v>0.89045479302832242</v>
      </c>
      <c r="AK23" s="281">
        <f>-10.9545206971678%</f>
        <v>-0.10954520697167799</v>
      </c>
    </row>
    <row r="24" spans="1:37" ht="12.45" customHeight="1">
      <c r="A24" s="115" t="s">
        <v>174</v>
      </c>
      <c r="B24" s="105">
        <v>2411000</v>
      </c>
      <c r="C24" s="9">
        <v>816000</v>
      </c>
      <c r="D24" s="9">
        <v>1595000</v>
      </c>
      <c r="E24" s="9">
        <v>183000</v>
      </c>
      <c r="F24" s="9">
        <v>1000</v>
      </c>
      <c r="G24" s="9">
        <v>706000</v>
      </c>
      <c r="H24" s="9">
        <v>130000</v>
      </c>
      <c r="I24" s="9">
        <v>5000</v>
      </c>
      <c r="J24" s="9">
        <v>1344000</v>
      </c>
      <c r="K24" s="9">
        <v>41000</v>
      </c>
      <c r="L24" s="9">
        <v>2166000</v>
      </c>
      <c r="M24" s="9">
        <v>245000</v>
      </c>
      <c r="N24" s="229">
        <f t="shared" si="1"/>
        <v>0.33844877644131066</v>
      </c>
      <c r="O24" s="229">
        <f t="shared" si="2"/>
        <v>0.66155122355868934</v>
      </c>
      <c r="P24" s="229">
        <f t="shared" si="3"/>
        <v>7.590211530485276E-2</v>
      </c>
      <c r="Q24" s="229">
        <f t="shared" si="4"/>
        <v>4.1476565740356696E-4</v>
      </c>
      <c r="R24" s="229">
        <f t="shared" si="5"/>
        <v>0.29282455412691827</v>
      </c>
      <c r="S24" s="229">
        <f t="shared" si="6"/>
        <v>5.3919535462463711E-2</v>
      </c>
      <c r="T24" s="229">
        <f t="shared" si="7"/>
        <v>2.0738282870178351E-3</v>
      </c>
      <c r="U24" s="229">
        <f t="shared" si="8"/>
        <v>0.55744504355039404</v>
      </c>
      <c r="V24" s="229">
        <f t="shared" si="9"/>
        <v>1.7005391953546247E-2</v>
      </c>
      <c r="W24" s="229">
        <f t="shared" si="10"/>
        <v>0.89838241393612606</v>
      </c>
      <c r="X24" s="229">
        <f t="shared" si="11"/>
        <v>0.10161758606387392</v>
      </c>
      <c r="AA24" s="204">
        <f>-33.8448776441311%</f>
        <v>-0.33844877644131105</v>
      </c>
      <c r="AB24" s="204">
        <v>0.66155122355868934</v>
      </c>
      <c r="AC24" s="204">
        <f>-7.59021153048528%</f>
        <v>-7.5902115304852802E-2</v>
      </c>
      <c r="AD24" s="204">
        <f>-0.0414765657403567%</f>
        <v>-4.1476565740356701E-4</v>
      </c>
      <c r="AE24" s="204">
        <v>0.29282455412691827</v>
      </c>
      <c r="AF24" s="204">
        <v>5.3919535462463711E-2</v>
      </c>
      <c r="AG24" s="204">
        <f>-0.207382828701784%</f>
        <v>-2.0738282870178403E-3</v>
      </c>
      <c r="AH24" s="204">
        <f>-55.7445043550394%</f>
        <v>-0.55744504355039404</v>
      </c>
      <c r="AI24" s="204">
        <f>-1.70053919535462%</f>
        <v>-1.7005391953546202E-2</v>
      </c>
      <c r="AJ24" s="204">
        <v>0.89838241393612606</v>
      </c>
      <c r="AK24" s="204">
        <f>-10.1617586063874%</f>
        <v>-0.101617586063874</v>
      </c>
    </row>
    <row r="25" spans="1:37" ht="12.45" customHeight="1">
      <c r="A25" s="158" t="s">
        <v>227</v>
      </c>
      <c r="B25" s="105">
        <v>188000</v>
      </c>
      <c r="C25" s="9">
        <v>100000</v>
      </c>
      <c r="D25" s="9">
        <v>88000</v>
      </c>
      <c r="E25" s="9">
        <v>14000</v>
      </c>
      <c r="F25" s="13" t="s">
        <v>220</v>
      </c>
      <c r="G25" s="9">
        <v>34000</v>
      </c>
      <c r="H25" s="9">
        <v>7000</v>
      </c>
      <c r="I25" s="13" t="s">
        <v>220</v>
      </c>
      <c r="J25" s="9">
        <v>123000</v>
      </c>
      <c r="K25" s="13" t="s">
        <v>191</v>
      </c>
      <c r="L25" s="9">
        <v>166000</v>
      </c>
      <c r="M25" s="9">
        <v>22000</v>
      </c>
      <c r="N25" s="229">
        <f t="shared" si="1"/>
        <v>0.53191489361702127</v>
      </c>
      <c r="O25" s="229">
        <f t="shared" si="2"/>
        <v>0.46808510638297873</v>
      </c>
      <c r="P25" s="229">
        <f t="shared" si="3"/>
        <v>7.4468085106382975E-2</v>
      </c>
      <c r="Q25" s="229" t="e">
        <f t="shared" si="4"/>
        <v>#VALUE!</v>
      </c>
      <c r="R25" s="229">
        <f t="shared" si="5"/>
        <v>0.18085106382978725</v>
      </c>
      <c r="S25" s="229">
        <f t="shared" si="6"/>
        <v>3.7234042553191488E-2</v>
      </c>
      <c r="T25" s="229" t="e">
        <f t="shared" si="7"/>
        <v>#VALUE!</v>
      </c>
      <c r="U25" s="229">
        <f t="shared" si="8"/>
        <v>0.6542553191489362</v>
      </c>
      <c r="V25" s="229" t="e">
        <f t="shared" si="9"/>
        <v>#VALUE!</v>
      </c>
      <c r="W25" s="229">
        <f t="shared" si="10"/>
        <v>0.88297872340425532</v>
      </c>
      <c r="X25" s="229">
        <f t="shared" si="11"/>
        <v>0.11702127659574468</v>
      </c>
      <c r="AA25" s="204">
        <v>0.53191489361702127</v>
      </c>
      <c r="AB25" s="204">
        <f>-46.8085106382979%</f>
        <v>-0.46808510638297901</v>
      </c>
      <c r="AC25" s="204">
        <f>-7.4468085106383%</f>
        <v>-7.4468085106383003E-2</v>
      </c>
      <c r="AD25" s="204" t="e">
        <v>#VALUE!</v>
      </c>
      <c r="AE25" s="204">
        <v>0.18085106382978725</v>
      </c>
      <c r="AF25" s="204">
        <f>-3.72340425531915%</f>
        <v>-3.7234042553191501E-2</v>
      </c>
      <c r="AG25" s="204" t="e">
        <v>#VALUE!</v>
      </c>
      <c r="AH25" s="204">
        <v>0.6542553191489362</v>
      </c>
      <c r="AI25" s="204" t="e">
        <v>#VALUE!</v>
      </c>
      <c r="AJ25" s="204">
        <f>-88.2978723404255%</f>
        <v>-0.88297872340425498</v>
      </c>
      <c r="AK25" s="204">
        <v>0.11702127659574468</v>
      </c>
    </row>
    <row r="26" spans="1:37" ht="12.45" customHeight="1">
      <c r="A26" s="116" t="s">
        <v>228</v>
      </c>
      <c r="B26" s="105">
        <v>1251000</v>
      </c>
      <c r="C26" s="9">
        <v>384000</v>
      </c>
      <c r="D26" s="9">
        <v>867000</v>
      </c>
      <c r="E26" s="9">
        <v>84000</v>
      </c>
      <c r="F26" s="13" t="s">
        <v>220</v>
      </c>
      <c r="G26" s="9">
        <v>492000</v>
      </c>
      <c r="H26" s="9">
        <v>73000</v>
      </c>
      <c r="I26" s="13" t="s">
        <v>191</v>
      </c>
      <c r="J26" s="9">
        <v>584000</v>
      </c>
      <c r="K26" s="9">
        <v>16000</v>
      </c>
      <c r="L26" s="9">
        <v>1120000</v>
      </c>
      <c r="M26" s="9">
        <v>131000</v>
      </c>
      <c r="N26" s="229">
        <f t="shared" si="1"/>
        <v>0.30695443645083931</v>
      </c>
      <c r="O26" s="229">
        <f t="shared" si="2"/>
        <v>0.69304556354916069</v>
      </c>
      <c r="P26" s="229">
        <f t="shared" si="3"/>
        <v>6.7146282973621102E-2</v>
      </c>
      <c r="Q26" s="229" t="e">
        <f t="shared" si="4"/>
        <v>#VALUE!</v>
      </c>
      <c r="R26" s="229">
        <f t="shared" si="5"/>
        <v>0.39328537170263789</v>
      </c>
      <c r="S26" s="229">
        <f t="shared" si="6"/>
        <v>5.8353317346123104E-2</v>
      </c>
      <c r="T26" s="229" t="e">
        <f t="shared" si="7"/>
        <v>#VALUE!</v>
      </c>
      <c r="U26" s="229">
        <f t="shared" si="8"/>
        <v>0.46682653876898483</v>
      </c>
      <c r="V26" s="229">
        <f t="shared" si="9"/>
        <v>1.2789768185451638E-2</v>
      </c>
      <c r="W26" s="229">
        <f t="shared" si="10"/>
        <v>0.89528377298161466</v>
      </c>
      <c r="X26" s="229">
        <f t="shared" si="11"/>
        <v>0.10471622701838529</v>
      </c>
      <c r="AA26" s="204">
        <f>-30.6954436450839%</f>
        <v>-0.30695443645083897</v>
      </c>
      <c r="AB26" s="204">
        <v>0.69304556354916069</v>
      </c>
      <c r="AC26" s="204">
        <f>-6.71462829736211%</f>
        <v>-6.7146282973621102E-2</v>
      </c>
      <c r="AD26" s="204" t="e">
        <v>#VALUE!</v>
      </c>
      <c r="AE26" s="204">
        <v>0.39328537170263789</v>
      </c>
      <c r="AF26" s="204">
        <v>5.8353317346123104E-2</v>
      </c>
      <c r="AG26" s="204" t="e">
        <v>#VALUE!</v>
      </c>
      <c r="AH26" s="204">
        <f>-46.6826538768985%</f>
        <v>-0.466826538768985</v>
      </c>
      <c r="AI26" s="204">
        <f>-1.27897681854516%</f>
        <v>-1.27897681854516E-2</v>
      </c>
      <c r="AJ26" s="204">
        <v>0.89528377298161466</v>
      </c>
      <c r="AK26" s="204">
        <f>-10.4716227018385%</f>
        <v>-0.104716227018385</v>
      </c>
    </row>
    <row r="27" spans="1:37" ht="12.45" customHeight="1">
      <c r="A27" s="116" t="s">
        <v>229</v>
      </c>
      <c r="B27" s="105">
        <v>105000</v>
      </c>
      <c r="C27" s="9">
        <v>43000</v>
      </c>
      <c r="D27" s="9">
        <v>61000</v>
      </c>
      <c r="E27" s="9">
        <v>10000</v>
      </c>
      <c r="F27" s="13" t="s">
        <v>220</v>
      </c>
      <c r="G27" s="9">
        <v>16000</v>
      </c>
      <c r="H27" s="9">
        <v>5000</v>
      </c>
      <c r="I27" s="13" t="s">
        <v>220</v>
      </c>
      <c r="J27" s="9">
        <v>71000</v>
      </c>
      <c r="K27" s="9">
        <v>2000</v>
      </c>
      <c r="L27" s="9">
        <v>90000</v>
      </c>
      <c r="M27" s="9">
        <v>15000</v>
      </c>
      <c r="N27" s="229">
        <f t="shared" si="1"/>
        <v>0.40952380952380951</v>
      </c>
      <c r="O27" s="229">
        <f t="shared" si="2"/>
        <v>0.580952380952381</v>
      </c>
      <c r="P27" s="229">
        <f t="shared" si="3"/>
        <v>9.5238095238095233E-2</v>
      </c>
      <c r="Q27" s="229" t="e">
        <f t="shared" si="4"/>
        <v>#VALUE!</v>
      </c>
      <c r="R27" s="229">
        <f t="shared" si="5"/>
        <v>0.15238095238095239</v>
      </c>
      <c r="S27" s="229">
        <f t="shared" si="6"/>
        <v>4.7619047619047616E-2</v>
      </c>
      <c r="T27" s="229" t="e">
        <f t="shared" si="7"/>
        <v>#VALUE!</v>
      </c>
      <c r="U27" s="229">
        <f t="shared" si="8"/>
        <v>0.67619047619047623</v>
      </c>
      <c r="V27" s="229">
        <f t="shared" si="9"/>
        <v>1.9047619047619049E-2</v>
      </c>
      <c r="W27" s="229">
        <f t="shared" si="10"/>
        <v>0.8571428571428571</v>
      </c>
      <c r="X27" s="229">
        <f t="shared" si="11"/>
        <v>0.14285714285714285</v>
      </c>
      <c r="AA27" s="204">
        <v>0.40952380952380951</v>
      </c>
      <c r="AB27" s="204">
        <v>0.580952380952381</v>
      </c>
      <c r="AC27" s="204">
        <v>9.5238095238095233E-2</v>
      </c>
      <c r="AD27" s="204" t="e">
        <v>#VALUE!</v>
      </c>
      <c r="AE27" s="204">
        <v>0.15238095238095239</v>
      </c>
      <c r="AF27" s="204">
        <f>-4.76190476190476%</f>
        <v>-4.7619047619047603E-2</v>
      </c>
      <c r="AG27" s="204" t="e">
        <v>#VALUE!</v>
      </c>
      <c r="AH27" s="204">
        <v>0.67619047619047623</v>
      </c>
      <c r="AI27" s="204">
        <v>1.9047619047619049E-2</v>
      </c>
      <c r="AJ27" s="204">
        <f>-85.7142857142857%</f>
        <v>-0.85714285714285698</v>
      </c>
      <c r="AK27" s="204">
        <v>0.14285714285714285</v>
      </c>
    </row>
    <row r="28" spans="1:37" ht="12.45" customHeight="1">
      <c r="A28" s="116" t="s">
        <v>230</v>
      </c>
      <c r="B28" s="105">
        <v>283000</v>
      </c>
      <c r="C28" s="9">
        <v>180000</v>
      </c>
      <c r="D28" s="9">
        <v>102000</v>
      </c>
      <c r="E28" s="9">
        <v>32000</v>
      </c>
      <c r="F28" s="13" t="s">
        <v>220</v>
      </c>
      <c r="G28" s="9">
        <v>21000</v>
      </c>
      <c r="H28" s="9">
        <v>23000</v>
      </c>
      <c r="I28" s="13" t="s">
        <v>191</v>
      </c>
      <c r="J28" s="9">
        <v>200000</v>
      </c>
      <c r="K28" s="9">
        <v>5000</v>
      </c>
      <c r="L28" s="9">
        <v>248000</v>
      </c>
      <c r="M28" s="9">
        <v>35000</v>
      </c>
      <c r="N28" s="229">
        <f t="shared" si="1"/>
        <v>0.63604240282685509</v>
      </c>
      <c r="O28" s="229">
        <f t="shared" si="2"/>
        <v>0.36042402826855124</v>
      </c>
      <c r="P28" s="229">
        <f t="shared" si="3"/>
        <v>0.11307420494699646</v>
      </c>
      <c r="Q28" s="229" t="e">
        <f t="shared" si="4"/>
        <v>#VALUE!</v>
      </c>
      <c r="R28" s="229">
        <f t="shared" si="5"/>
        <v>7.4204946996466431E-2</v>
      </c>
      <c r="S28" s="229">
        <f t="shared" si="6"/>
        <v>8.1272084805653705E-2</v>
      </c>
      <c r="T28" s="229" t="e">
        <f t="shared" si="7"/>
        <v>#VALUE!</v>
      </c>
      <c r="U28" s="229">
        <f t="shared" si="8"/>
        <v>0.70671378091872794</v>
      </c>
      <c r="V28" s="229">
        <f t="shared" si="9"/>
        <v>1.7667844522968199E-2</v>
      </c>
      <c r="W28" s="229">
        <f t="shared" si="10"/>
        <v>0.87632508833922262</v>
      </c>
      <c r="X28" s="229">
        <f t="shared" si="11"/>
        <v>0.12367491166077739</v>
      </c>
      <c r="AA28" s="204">
        <v>0.63604240282685509</v>
      </c>
      <c r="AB28" s="204">
        <f>-36.0424028268551%</f>
        <v>-0.36042402826855102</v>
      </c>
      <c r="AC28" s="204">
        <v>0.11307420494699646</v>
      </c>
      <c r="AD28" s="204" t="e">
        <v>#VALUE!</v>
      </c>
      <c r="AE28" s="204">
        <f>-7.42049469964664%</f>
        <v>-7.4204946996466403E-2</v>
      </c>
      <c r="AF28" s="204">
        <v>8.1272084805653705E-2</v>
      </c>
      <c r="AG28" s="204" t="e">
        <v>#VALUE!</v>
      </c>
      <c r="AH28" s="204">
        <v>0.70671378091872794</v>
      </c>
      <c r="AI28" s="204">
        <f>-1.76678445229682%</f>
        <v>-1.7667844522968199E-2</v>
      </c>
      <c r="AJ28" s="204">
        <f>-87.6325088339223%</f>
        <v>-0.87632508833922307</v>
      </c>
      <c r="AK28" s="204">
        <v>0.12367491166077739</v>
      </c>
    </row>
    <row r="29" spans="1:37" ht="12.45" customHeight="1">
      <c r="A29" s="116" t="s">
        <v>231</v>
      </c>
      <c r="B29" s="105">
        <v>584000</v>
      </c>
      <c r="C29" s="9">
        <v>108000</v>
      </c>
      <c r="D29" s="9">
        <v>476000</v>
      </c>
      <c r="E29" s="9">
        <v>42000</v>
      </c>
      <c r="F29" s="13" t="s">
        <v>222</v>
      </c>
      <c r="G29" s="9">
        <v>143000</v>
      </c>
      <c r="H29" s="9">
        <v>21000</v>
      </c>
      <c r="I29" s="13" t="s">
        <v>191</v>
      </c>
      <c r="J29" s="9">
        <v>367000</v>
      </c>
      <c r="K29" s="9">
        <v>9000</v>
      </c>
      <c r="L29" s="9">
        <v>543000</v>
      </c>
      <c r="M29" s="9">
        <v>41000</v>
      </c>
      <c r="N29" s="229">
        <f t="shared" si="1"/>
        <v>0.18493150684931506</v>
      </c>
      <c r="O29" s="229">
        <f t="shared" si="2"/>
        <v>0.81506849315068497</v>
      </c>
      <c r="P29" s="229">
        <f t="shared" si="3"/>
        <v>7.1917808219178078E-2</v>
      </c>
      <c r="Q29" s="229" t="e">
        <f t="shared" si="4"/>
        <v>#VALUE!</v>
      </c>
      <c r="R29" s="229">
        <f t="shared" si="5"/>
        <v>0.24486301369863014</v>
      </c>
      <c r="S29" s="229">
        <f t="shared" si="6"/>
        <v>3.5958904109589039E-2</v>
      </c>
      <c r="T29" s="229" t="e">
        <f t="shared" si="7"/>
        <v>#VALUE!</v>
      </c>
      <c r="U29" s="229">
        <f t="shared" si="8"/>
        <v>0.62842465753424659</v>
      </c>
      <c r="V29" s="229">
        <f t="shared" si="9"/>
        <v>1.5410958904109588E-2</v>
      </c>
      <c r="W29" s="229">
        <f t="shared" si="10"/>
        <v>0.9297945205479452</v>
      </c>
      <c r="X29" s="229">
        <f t="shared" si="11"/>
        <v>7.0205479452054798E-2</v>
      </c>
      <c r="AA29" s="204">
        <f>-18.4931506849315%</f>
        <v>-0.184931506849315</v>
      </c>
      <c r="AB29" s="204">
        <v>0.81506849315068497</v>
      </c>
      <c r="AC29" s="204">
        <f>-7.19178082191781%</f>
        <v>-7.1917808219178092E-2</v>
      </c>
      <c r="AD29" s="204" t="e">
        <v>#VALUE!</v>
      </c>
      <c r="AE29" s="204">
        <v>0.24486301369863014</v>
      </c>
      <c r="AF29" s="204">
        <f>-3.5958904109589%</f>
        <v>-3.5958904109588997E-2</v>
      </c>
      <c r="AG29" s="204" t="e">
        <v>#VALUE!</v>
      </c>
      <c r="AH29" s="204">
        <f>-62.8424657534247%</f>
        <v>-0.62842465753424692</v>
      </c>
      <c r="AI29" s="204">
        <f>-1.54109589041096%</f>
        <v>-1.54109589041096E-2</v>
      </c>
      <c r="AJ29" s="204">
        <v>0.9297945205479452</v>
      </c>
      <c r="AK29" s="204">
        <f>-7.02054794520548%</f>
        <v>-7.0205479452054798E-2</v>
      </c>
    </row>
    <row r="30" spans="1:37" ht="12.45" customHeight="1">
      <c r="A30" s="115" t="s">
        <v>175</v>
      </c>
      <c r="B30" s="105">
        <v>2578000</v>
      </c>
      <c r="C30" s="9">
        <v>1580000</v>
      </c>
      <c r="D30" s="9">
        <v>998000</v>
      </c>
      <c r="E30" s="9">
        <v>181000</v>
      </c>
      <c r="F30" s="9">
        <v>4000</v>
      </c>
      <c r="G30" s="9">
        <v>314000</v>
      </c>
      <c r="H30" s="9">
        <v>242000</v>
      </c>
      <c r="I30" s="9">
        <v>6000</v>
      </c>
      <c r="J30" s="9">
        <v>1775000</v>
      </c>
      <c r="K30" s="9">
        <v>56000</v>
      </c>
      <c r="L30" s="9">
        <v>2326000</v>
      </c>
      <c r="M30" s="9">
        <v>252000</v>
      </c>
      <c r="N30" s="229">
        <f t="shared" si="1"/>
        <v>0.61287820015515904</v>
      </c>
      <c r="O30" s="229">
        <f t="shared" si="2"/>
        <v>0.38712179984484096</v>
      </c>
      <c r="P30" s="229">
        <f t="shared" si="3"/>
        <v>7.0209464701318849E-2</v>
      </c>
      <c r="Q30" s="229">
        <f t="shared" si="4"/>
        <v>1.5515903801396431E-3</v>
      </c>
      <c r="R30" s="229">
        <f t="shared" si="5"/>
        <v>0.12179984484096198</v>
      </c>
      <c r="S30" s="229">
        <f t="shared" si="6"/>
        <v>9.3871217998448414E-2</v>
      </c>
      <c r="T30" s="229">
        <f t="shared" si="7"/>
        <v>2.3273855702094647E-3</v>
      </c>
      <c r="U30" s="229">
        <f t="shared" si="8"/>
        <v>0.68851823118696664</v>
      </c>
      <c r="V30" s="229">
        <f t="shared" si="9"/>
        <v>2.1722265321955005E-2</v>
      </c>
      <c r="W30" s="229">
        <f t="shared" si="10"/>
        <v>0.90224980605120253</v>
      </c>
      <c r="X30" s="229">
        <f t="shared" si="11"/>
        <v>9.7750193948797512E-2</v>
      </c>
      <c r="AA30" s="204">
        <v>0.61287820015515904</v>
      </c>
      <c r="AB30" s="204">
        <f>-38.7121799844841%</f>
        <v>-0.38712179984484102</v>
      </c>
      <c r="AC30" s="204">
        <f>-7.02094647013188%</f>
        <v>-7.0209464701318794E-2</v>
      </c>
      <c r="AD30" s="204">
        <f>-0.155159038013964%</f>
        <v>-1.5515903801396399E-3</v>
      </c>
      <c r="AE30" s="204">
        <f>-12.1799844840962%</f>
        <v>-0.12179984484096201</v>
      </c>
      <c r="AF30" s="204">
        <v>9.3871217998448414E-2</v>
      </c>
      <c r="AG30" s="204">
        <v>2.3273855702094647E-3</v>
      </c>
      <c r="AH30" s="204">
        <v>0.68851823118696664</v>
      </c>
      <c r="AI30" s="204">
        <v>2.1722265321955005E-2</v>
      </c>
      <c r="AJ30" s="204">
        <v>0.90224980605120253</v>
      </c>
      <c r="AK30" s="204">
        <f>-9.77501939487975%</f>
        <v>-9.7750193948797512E-2</v>
      </c>
    </row>
    <row r="31" spans="1:37" ht="12.45" customHeight="1">
      <c r="A31" s="115" t="s">
        <v>176</v>
      </c>
      <c r="B31" s="105">
        <v>9699000</v>
      </c>
      <c r="C31" s="9">
        <v>5918000</v>
      </c>
      <c r="D31" s="9">
        <v>3781000</v>
      </c>
      <c r="E31" s="9">
        <v>973000</v>
      </c>
      <c r="F31" s="9">
        <v>45000</v>
      </c>
      <c r="G31" s="9">
        <v>808000</v>
      </c>
      <c r="H31" s="9">
        <v>965000</v>
      </c>
      <c r="I31" s="9">
        <v>23000</v>
      </c>
      <c r="J31" s="9">
        <v>6677000</v>
      </c>
      <c r="K31" s="9">
        <v>208000</v>
      </c>
      <c r="L31" s="9">
        <v>8587000</v>
      </c>
      <c r="M31" s="9">
        <v>1112000</v>
      </c>
      <c r="N31" s="229">
        <f t="shared" si="1"/>
        <v>0.610165996494484</v>
      </c>
      <c r="O31" s="229">
        <f t="shared" si="2"/>
        <v>0.38983400350551606</v>
      </c>
      <c r="P31" s="229">
        <f t="shared" si="3"/>
        <v>0.10031962057944117</v>
      </c>
      <c r="Q31" s="229">
        <f t="shared" si="4"/>
        <v>4.6396535725332505E-3</v>
      </c>
      <c r="R31" s="229">
        <f t="shared" si="5"/>
        <v>8.3307557480152589E-2</v>
      </c>
      <c r="S31" s="229">
        <f t="shared" si="6"/>
        <v>9.9494793277657492E-2</v>
      </c>
      <c r="T31" s="229">
        <f t="shared" si="7"/>
        <v>2.3713784926281058E-3</v>
      </c>
      <c r="U31" s="229">
        <f t="shared" si="8"/>
        <v>0.68842148675121151</v>
      </c>
      <c r="V31" s="229">
        <f t="shared" si="9"/>
        <v>2.1445509846375915E-2</v>
      </c>
      <c r="W31" s="229">
        <f t="shared" si="10"/>
        <v>0.88534900505206726</v>
      </c>
      <c r="X31" s="229">
        <f t="shared" si="11"/>
        <v>0.11465099494793278</v>
      </c>
      <c r="AA31" s="204">
        <v>0.610165996494484</v>
      </c>
      <c r="AB31" s="204">
        <f>-38.9834003505516%</f>
        <v>-0.389834003505516</v>
      </c>
      <c r="AC31" s="204">
        <v>0.10031962057944117</v>
      </c>
      <c r="AD31" s="204">
        <v>4.6396535725332505E-3</v>
      </c>
      <c r="AE31" s="204">
        <f>-8.33075574801526%</f>
        <v>-8.3307557480152603E-2</v>
      </c>
      <c r="AF31" s="204">
        <v>9.9494793277657492E-2</v>
      </c>
      <c r="AG31" s="204">
        <v>2.3713784926281058E-3</v>
      </c>
      <c r="AH31" s="204">
        <v>0.68842148675121151</v>
      </c>
      <c r="AI31" s="204">
        <v>2.1445509846375915E-2</v>
      </c>
      <c r="AJ31" s="204">
        <v>0.88534900505206726</v>
      </c>
      <c r="AK31" s="204">
        <v>0.11465099494793278</v>
      </c>
    </row>
    <row r="32" spans="1:37" ht="12.45" customHeight="1">
      <c r="A32" s="135" t="s">
        <v>50</v>
      </c>
      <c r="B32" s="136">
        <v>2141000</v>
      </c>
      <c r="C32" s="137">
        <v>887000</v>
      </c>
      <c r="D32" s="137">
        <v>1254000</v>
      </c>
      <c r="E32" s="137">
        <v>149000</v>
      </c>
      <c r="F32" s="137">
        <v>6000</v>
      </c>
      <c r="G32" s="137">
        <v>438000</v>
      </c>
      <c r="H32" s="137">
        <v>143000</v>
      </c>
      <c r="I32" s="159" t="s">
        <v>191</v>
      </c>
      <c r="J32" s="137">
        <v>1377000</v>
      </c>
      <c r="K32" s="137">
        <v>27000</v>
      </c>
      <c r="L32" s="137">
        <v>1934000</v>
      </c>
      <c r="M32" s="137">
        <v>207000</v>
      </c>
      <c r="N32" s="230">
        <f t="shared" si="1"/>
        <v>0.41429238673517049</v>
      </c>
      <c r="O32" s="230">
        <f t="shared" si="2"/>
        <v>0.58570761326482956</v>
      </c>
      <c r="P32" s="230">
        <f t="shared" si="3"/>
        <v>6.9593647828117708E-2</v>
      </c>
      <c r="Q32" s="230">
        <f t="shared" si="4"/>
        <v>2.8024287716020553E-3</v>
      </c>
      <c r="R32" s="230">
        <f t="shared" si="5"/>
        <v>0.20457730032695001</v>
      </c>
      <c r="S32" s="230">
        <f t="shared" si="6"/>
        <v>6.6791219056515652E-2</v>
      </c>
      <c r="T32" s="230" t="e">
        <f t="shared" si="7"/>
        <v>#VALUE!</v>
      </c>
      <c r="U32" s="230">
        <f t="shared" si="8"/>
        <v>0.64315740308267166</v>
      </c>
      <c r="V32" s="230">
        <f t="shared" si="9"/>
        <v>1.2610929472209247E-2</v>
      </c>
      <c r="W32" s="230">
        <f t="shared" si="10"/>
        <v>0.90331620737972906</v>
      </c>
      <c r="X32" s="230">
        <f t="shared" si="11"/>
        <v>9.6683792620270895E-2</v>
      </c>
      <c r="AA32" s="283">
        <v>0.41429238673517049</v>
      </c>
      <c r="AB32" s="283">
        <v>0.58570761326482956</v>
      </c>
      <c r="AC32" s="283">
        <f>-6.95936478281177%</f>
        <v>-6.9593647828117694E-2</v>
      </c>
      <c r="AD32" s="283">
        <v>2.8024287716020553E-3</v>
      </c>
      <c r="AE32" s="283">
        <v>0.20457730032695001</v>
      </c>
      <c r="AF32" s="283">
        <v>6.6791219056515652E-2</v>
      </c>
      <c r="AG32" s="283" t="e">
        <v>#VALUE!</v>
      </c>
      <c r="AH32" s="283">
        <f>-64.3157403082672%</f>
        <v>-0.643157403082672</v>
      </c>
      <c r="AI32" s="283">
        <f>-1.26109294722092%</f>
        <v>-1.26109294722092E-2</v>
      </c>
      <c r="AJ32" s="283">
        <v>0.90331620737972906</v>
      </c>
      <c r="AK32" s="283">
        <f>-9.66837926202709%</f>
        <v>-9.6683792620270895E-2</v>
      </c>
    </row>
    <row r="33" spans="1:37" ht="12.45" customHeight="1">
      <c r="A33" s="138" t="s">
        <v>174</v>
      </c>
      <c r="B33" s="105">
        <v>962000</v>
      </c>
      <c r="C33" s="9">
        <v>343000</v>
      </c>
      <c r="D33" s="9">
        <v>619000</v>
      </c>
      <c r="E33" s="9">
        <v>59000</v>
      </c>
      <c r="F33" s="9">
        <v>1000</v>
      </c>
      <c r="G33" s="9">
        <v>259000</v>
      </c>
      <c r="H33" s="9">
        <v>28000</v>
      </c>
      <c r="I33" s="13" t="s">
        <v>220</v>
      </c>
      <c r="J33" s="9">
        <v>603000</v>
      </c>
      <c r="K33" s="9">
        <v>13000</v>
      </c>
      <c r="L33" s="9">
        <v>883000</v>
      </c>
      <c r="M33" s="9">
        <v>79000</v>
      </c>
      <c r="N33" s="229">
        <f t="shared" si="1"/>
        <v>0.35654885654885654</v>
      </c>
      <c r="O33" s="229">
        <f t="shared" si="2"/>
        <v>0.6434511434511434</v>
      </c>
      <c r="P33" s="229">
        <f t="shared" si="3"/>
        <v>6.1330561330561334E-2</v>
      </c>
      <c r="Q33" s="229">
        <f t="shared" si="4"/>
        <v>1.0395010395010396E-3</v>
      </c>
      <c r="R33" s="229">
        <f t="shared" si="5"/>
        <v>0.26923076923076922</v>
      </c>
      <c r="S33" s="229">
        <f t="shared" si="6"/>
        <v>2.9106029106029108E-2</v>
      </c>
      <c r="T33" s="229" t="e">
        <f t="shared" si="7"/>
        <v>#VALUE!</v>
      </c>
      <c r="U33" s="229">
        <f t="shared" si="8"/>
        <v>0.62681912681912677</v>
      </c>
      <c r="V33" s="229">
        <f t="shared" si="9"/>
        <v>1.3513513513513514E-2</v>
      </c>
      <c r="W33" s="229">
        <f t="shared" si="10"/>
        <v>0.91787941787941785</v>
      </c>
      <c r="X33" s="229">
        <f t="shared" si="11"/>
        <v>8.2120582120582125E-2</v>
      </c>
      <c r="AA33" s="204">
        <f>-35.6548856548857%</f>
        <v>-0.35654885654885704</v>
      </c>
      <c r="AB33" s="204">
        <v>0.6434511434511434</v>
      </c>
      <c r="AC33" s="204">
        <f>-6.13305613305613%</f>
        <v>-6.1330561330561306E-2</v>
      </c>
      <c r="AD33" s="204">
        <f>-0.103950103950104%</f>
        <v>-1.03950103950104E-3</v>
      </c>
      <c r="AE33" s="204">
        <v>0.26923076923076922</v>
      </c>
      <c r="AF33" s="204">
        <f>-2.91060291060291%</f>
        <v>-2.9106029106029097E-2</v>
      </c>
      <c r="AG33" s="204" t="e">
        <v>#VALUE!</v>
      </c>
      <c r="AH33" s="204">
        <f>-62.6819126819127%</f>
        <v>-0.62681912681912699</v>
      </c>
      <c r="AI33" s="204">
        <f>-1.35135135135135%</f>
        <v>-1.35135135135135E-2</v>
      </c>
      <c r="AJ33" s="204">
        <v>0.91787941787941785</v>
      </c>
      <c r="AK33" s="204">
        <f>-8.21205821205821%</f>
        <v>-8.2120582120582097E-2</v>
      </c>
    </row>
    <row r="34" spans="1:37" ht="12.45" customHeight="1">
      <c r="A34" s="160" t="s">
        <v>227</v>
      </c>
      <c r="B34" s="105">
        <v>291000</v>
      </c>
      <c r="C34" s="9">
        <v>118000</v>
      </c>
      <c r="D34" s="9">
        <v>173000</v>
      </c>
      <c r="E34" s="9">
        <v>20000</v>
      </c>
      <c r="F34" s="13" t="s">
        <v>220</v>
      </c>
      <c r="G34" s="9">
        <v>89000</v>
      </c>
      <c r="H34" s="9">
        <v>9000</v>
      </c>
      <c r="I34" s="13" t="s">
        <v>220</v>
      </c>
      <c r="J34" s="9">
        <v>168000</v>
      </c>
      <c r="K34" s="13" t="s">
        <v>191</v>
      </c>
      <c r="L34" s="9">
        <v>270000</v>
      </c>
      <c r="M34" s="9">
        <v>21000</v>
      </c>
      <c r="N34" s="229">
        <f t="shared" si="1"/>
        <v>0.40549828178694158</v>
      </c>
      <c r="O34" s="229">
        <f t="shared" si="2"/>
        <v>0.59450171821305842</v>
      </c>
      <c r="P34" s="229">
        <f t="shared" si="3"/>
        <v>6.8728522336769765E-2</v>
      </c>
      <c r="Q34" s="229" t="e">
        <f t="shared" si="4"/>
        <v>#VALUE!</v>
      </c>
      <c r="R34" s="229">
        <f t="shared" si="5"/>
        <v>0.30584192439862545</v>
      </c>
      <c r="S34" s="229">
        <f t="shared" si="6"/>
        <v>3.0927835051546393E-2</v>
      </c>
      <c r="T34" s="229" t="e">
        <f t="shared" si="7"/>
        <v>#VALUE!</v>
      </c>
      <c r="U34" s="229">
        <f t="shared" si="8"/>
        <v>0.57731958762886593</v>
      </c>
      <c r="V34" s="229" t="e">
        <f t="shared" si="9"/>
        <v>#VALUE!</v>
      </c>
      <c r="W34" s="229">
        <f t="shared" si="10"/>
        <v>0.92783505154639179</v>
      </c>
      <c r="X34" s="229">
        <f t="shared" si="11"/>
        <v>7.2164948453608241E-2</v>
      </c>
      <c r="AA34" s="204">
        <v>0.40549828178694158</v>
      </c>
      <c r="AB34" s="204">
        <v>0.59450171821305842</v>
      </c>
      <c r="AC34" s="204">
        <f>-6.87285223367698%</f>
        <v>-6.8728522336769793E-2</v>
      </c>
      <c r="AD34" s="204" t="e">
        <v>#VALUE!</v>
      </c>
      <c r="AE34" s="204">
        <v>0.30584192439862545</v>
      </c>
      <c r="AF34" s="204">
        <f>-3.09278350515464%</f>
        <v>-3.0927835051546403E-2</v>
      </c>
      <c r="AG34" s="204" t="e">
        <v>#VALUE!</v>
      </c>
      <c r="AH34" s="204">
        <f>-57.7319587628866%</f>
        <v>-0.57731958762886604</v>
      </c>
      <c r="AI34" s="204" t="e">
        <v>#VALUE!</v>
      </c>
      <c r="AJ34" s="204">
        <v>0.92783505154639179</v>
      </c>
      <c r="AK34" s="204">
        <f>-7.21649484536082%</f>
        <v>-7.2164948453608199E-2</v>
      </c>
    </row>
    <row r="35" spans="1:37" ht="12.45" customHeight="1">
      <c r="A35" s="139" t="s">
        <v>228</v>
      </c>
      <c r="B35" s="105">
        <v>185000</v>
      </c>
      <c r="C35" s="9">
        <v>51000</v>
      </c>
      <c r="D35" s="9">
        <v>134000</v>
      </c>
      <c r="E35" s="9">
        <v>7000</v>
      </c>
      <c r="F35" s="13" t="s">
        <v>220</v>
      </c>
      <c r="G35" s="9">
        <v>76000</v>
      </c>
      <c r="H35" s="9">
        <v>3000</v>
      </c>
      <c r="I35" s="13" t="s">
        <v>220</v>
      </c>
      <c r="J35" s="9">
        <v>96000</v>
      </c>
      <c r="K35" s="9">
        <v>2000</v>
      </c>
      <c r="L35" s="9">
        <v>172000</v>
      </c>
      <c r="M35" s="9">
        <v>13000</v>
      </c>
      <c r="N35" s="229">
        <f t="shared" si="1"/>
        <v>0.27567567567567569</v>
      </c>
      <c r="O35" s="229">
        <f t="shared" si="2"/>
        <v>0.72432432432432436</v>
      </c>
      <c r="P35" s="229">
        <f t="shared" si="3"/>
        <v>3.783783783783784E-2</v>
      </c>
      <c r="Q35" s="229" t="e">
        <f t="shared" si="4"/>
        <v>#VALUE!</v>
      </c>
      <c r="R35" s="229">
        <f t="shared" si="5"/>
        <v>0.41081081081081083</v>
      </c>
      <c r="S35" s="229">
        <f t="shared" si="6"/>
        <v>1.6216216216216217E-2</v>
      </c>
      <c r="T35" s="229" t="e">
        <f t="shared" si="7"/>
        <v>#VALUE!</v>
      </c>
      <c r="U35" s="229">
        <f t="shared" si="8"/>
        <v>0.51891891891891895</v>
      </c>
      <c r="V35" s="229">
        <f t="shared" si="9"/>
        <v>1.0810810810810811E-2</v>
      </c>
      <c r="W35" s="229">
        <f t="shared" si="10"/>
        <v>0.92972972972972978</v>
      </c>
      <c r="X35" s="229">
        <f t="shared" si="11"/>
        <v>7.0270270270270274E-2</v>
      </c>
      <c r="AA35" s="204">
        <f>-27.5675675675676%</f>
        <v>-0.27567567567567602</v>
      </c>
      <c r="AB35" s="204">
        <v>0.72432432432432436</v>
      </c>
      <c r="AC35" s="204">
        <f>-3.78378378378378%</f>
        <v>-3.7837837837837805E-2</v>
      </c>
      <c r="AD35" s="204" t="e">
        <v>#VALUE!</v>
      </c>
      <c r="AE35" s="204">
        <v>0.41081081081081083</v>
      </c>
      <c r="AF35" s="204">
        <f>-1.62162162162162%</f>
        <v>-1.62162162162162E-2</v>
      </c>
      <c r="AG35" s="204" t="e">
        <v>#VALUE!</v>
      </c>
      <c r="AH35" s="204">
        <f>-51.8918918918919%</f>
        <v>-0.51891891891891906</v>
      </c>
      <c r="AI35" s="204">
        <f>-1.08108108108108%</f>
        <v>-1.0810810810810801E-2</v>
      </c>
      <c r="AJ35" s="204">
        <v>0.92972972972972978</v>
      </c>
      <c r="AK35" s="204">
        <f>-7.02702702702703%</f>
        <v>-7.0270270270270302E-2</v>
      </c>
    </row>
    <row r="36" spans="1:37" ht="12.45" customHeight="1">
      <c r="A36" s="139" t="s">
        <v>229</v>
      </c>
      <c r="B36" s="105">
        <v>125000</v>
      </c>
      <c r="C36" s="9">
        <v>30000</v>
      </c>
      <c r="D36" s="9">
        <v>95000</v>
      </c>
      <c r="E36" s="9">
        <v>5000</v>
      </c>
      <c r="F36" s="13" t="s">
        <v>220</v>
      </c>
      <c r="G36" s="9">
        <v>28000</v>
      </c>
      <c r="H36" s="9">
        <v>3000</v>
      </c>
      <c r="I36" s="13" t="s">
        <v>220</v>
      </c>
      <c r="J36" s="9">
        <v>87000</v>
      </c>
      <c r="K36" s="9">
        <v>1000</v>
      </c>
      <c r="L36" s="9">
        <v>115000</v>
      </c>
      <c r="M36" s="9">
        <v>10000</v>
      </c>
      <c r="N36" s="229">
        <f t="shared" si="1"/>
        <v>0.24</v>
      </c>
      <c r="O36" s="229">
        <f t="shared" si="2"/>
        <v>0.76</v>
      </c>
      <c r="P36" s="229">
        <f t="shared" si="3"/>
        <v>0.04</v>
      </c>
      <c r="Q36" s="229" t="e">
        <f t="shared" si="4"/>
        <v>#VALUE!</v>
      </c>
      <c r="R36" s="229">
        <f t="shared" si="5"/>
        <v>0.224</v>
      </c>
      <c r="S36" s="229">
        <f t="shared" si="6"/>
        <v>2.4E-2</v>
      </c>
      <c r="T36" s="229" t="e">
        <f t="shared" si="7"/>
        <v>#VALUE!</v>
      </c>
      <c r="U36" s="229">
        <f t="shared" si="8"/>
        <v>0.69599999999999995</v>
      </c>
      <c r="V36" s="229">
        <f t="shared" si="9"/>
        <v>8.0000000000000002E-3</v>
      </c>
      <c r="W36" s="229">
        <f t="shared" si="10"/>
        <v>0.92</v>
      </c>
      <c r="X36" s="229">
        <f t="shared" si="11"/>
        <v>0.08</v>
      </c>
      <c r="AA36" s="204">
        <f>-24%</f>
        <v>-0.24</v>
      </c>
      <c r="AB36" s="204">
        <v>0.76</v>
      </c>
      <c r="AC36" s="204">
        <f>-4%</f>
        <v>-0.04</v>
      </c>
      <c r="AD36" s="204" t="e">
        <v>#VALUE!</v>
      </c>
      <c r="AE36" s="204">
        <v>0.224</v>
      </c>
      <c r="AF36" s="204">
        <f>-2.4%</f>
        <v>-2.4E-2</v>
      </c>
      <c r="AG36" s="204" t="e">
        <v>#VALUE!</v>
      </c>
      <c r="AH36" s="204">
        <v>0.69599999999999995</v>
      </c>
      <c r="AI36" s="204">
        <f>-0.8%</f>
        <v>-8.0000000000000002E-3</v>
      </c>
      <c r="AJ36" s="204">
        <v>0.92</v>
      </c>
      <c r="AK36" s="204">
        <f>-8%</f>
        <v>-0.08</v>
      </c>
    </row>
    <row r="37" spans="1:37" ht="12.45" customHeight="1">
      <c r="A37" s="139" t="s">
        <v>230</v>
      </c>
      <c r="B37" s="105">
        <v>221000</v>
      </c>
      <c r="C37" s="9">
        <v>120000</v>
      </c>
      <c r="D37" s="9">
        <v>101000</v>
      </c>
      <c r="E37" s="9">
        <v>15000</v>
      </c>
      <c r="F37" s="9">
        <v>1000</v>
      </c>
      <c r="G37" s="9">
        <v>16000</v>
      </c>
      <c r="H37" s="9">
        <v>11000</v>
      </c>
      <c r="I37" s="13" t="s">
        <v>220</v>
      </c>
      <c r="J37" s="9">
        <v>173000</v>
      </c>
      <c r="K37" s="9">
        <v>4000</v>
      </c>
      <c r="L37" s="9">
        <v>195000</v>
      </c>
      <c r="M37" s="9">
        <v>27000</v>
      </c>
      <c r="N37" s="229">
        <f t="shared" si="1"/>
        <v>0.54298642533936647</v>
      </c>
      <c r="O37" s="229">
        <f t="shared" si="2"/>
        <v>0.45701357466063347</v>
      </c>
      <c r="P37" s="229">
        <f t="shared" si="3"/>
        <v>6.7873303167420809E-2</v>
      </c>
      <c r="Q37" s="229">
        <f t="shared" si="4"/>
        <v>4.5248868778280547E-3</v>
      </c>
      <c r="R37" s="229">
        <f t="shared" si="5"/>
        <v>7.2398190045248875E-2</v>
      </c>
      <c r="S37" s="229">
        <f t="shared" si="6"/>
        <v>4.9773755656108594E-2</v>
      </c>
      <c r="T37" s="229" t="e">
        <f t="shared" si="7"/>
        <v>#VALUE!</v>
      </c>
      <c r="U37" s="229">
        <f t="shared" si="8"/>
        <v>0.78280542986425339</v>
      </c>
      <c r="V37" s="229">
        <f t="shared" si="9"/>
        <v>1.8099547511312219E-2</v>
      </c>
      <c r="W37" s="229">
        <f t="shared" si="10"/>
        <v>0.88235294117647056</v>
      </c>
      <c r="X37" s="229">
        <f t="shared" si="11"/>
        <v>0.12217194570135746</v>
      </c>
      <c r="AA37" s="204">
        <v>0.54298642533936647</v>
      </c>
      <c r="AB37" s="204">
        <f>-45.7013574660633%</f>
        <v>-0.45701357466063297</v>
      </c>
      <c r="AC37" s="204">
        <f>-6.78733031674208%</f>
        <v>-6.7873303167420809E-2</v>
      </c>
      <c r="AD37" s="204">
        <v>4.5248868778280547E-3</v>
      </c>
      <c r="AE37" s="204">
        <f>-7.23981900452489%</f>
        <v>-7.2398190045248889E-2</v>
      </c>
      <c r="AF37" s="204">
        <f>-4.97737556561086%</f>
        <v>-4.9773755656108601E-2</v>
      </c>
      <c r="AG37" s="204" t="e">
        <v>#VALUE!</v>
      </c>
      <c r="AH37" s="204">
        <v>0.78280542986425339</v>
      </c>
      <c r="AI37" s="204">
        <f>-1.80995475113122%</f>
        <v>-1.8099547511312198E-2</v>
      </c>
      <c r="AJ37" s="204">
        <f>-88.2352941176471%</f>
        <v>-0.88235294117647101</v>
      </c>
      <c r="AK37" s="204">
        <v>0.12217194570135746</v>
      </c>
    </row>
    <row r="38" spans="1:37" ht="12.45" customHeight="1">
      <c r="A38" s="139" t="s">
        <v>231</v>
      </c>
      <c r="B38" s="105">
        <v>141000</v>
      </c>
      <c r="C38" s="9">
        <v>25000</v>
      </c>
      <c r="D38" s="9">
        <v>116000</v>
      </c>
      <c r="E38" s="9">
        <v>11000</v>
      </c>
      <c r="F38" s="13" t="s">
        <v>220</v>
      </c>
      <c r="G38" s="9">
        <v>49000</v>
      </c>
      <c r="H38" s="9">
        <v>2000</v>
      </c>
      <c r="I38" s="13" t="s">
        <v>220</v>
      </c>
      <c r="J38" s="9">
        <v>77000</v>
      </c>
      <c r="K38" s="9">
        <v>2000</v>
      </c>
      <c r="L38" s="9">
        <v>132000</v>
      </c>
      <c r="M38" s="9">
        <v>8000</v>
      </c>
      <c r="N38" s="229">
        <f t="shared" si="1"/>
        <v>0.1773049645390071</v>
      </c>
      <c r="O38" s="229">
        <f t="shared" si="2"/>
        <v>0.82269503546099287</v>
      </c>
      <c r="P38" s="229">
        <f t="shared" si="3"/>
        <v>7.8014184397163122E-2</v>
      </c>
      <c r="Q38" s="229" t="e">
        <f t="shared" si="4"/>
        <v>#VALUE!</v>
      </c>
      <c r="R38" s="229">
        <f t="shared" si="5"/>
        <v>0.3475177304964539</v>
      </c>
      <c r="S38" s="229">
        <f t="shared" si="6"/>
        <v>1.4184397163120567E-2</v>
      </c>
      <c r="T38" s="229" t="e">
        <f t="shared" si="7"/>
        <v>#VALUE!</v>
      </c>
      <c r="U38" s="229">
        <f t="shared" si="8"/>
        <v>0.54609929078014185</v>
      </c>
      <c r="V38" s="229">
        <f t="shared" si="9"/>
        <v>1.4184397163120567E-2</v>
      </c>
      <c r="W38" s="229">
        <f t="shared" si="10"/>
        <v>0.93617021276595747</v>
      </c>
      <c r="X38" s="229">
        <f t="shared" si="11"/>
        <v>5.6737588652482268E-2</v>
      </c>
      <c r="AA38" s="204">
        <f>-17.7304964539007%</f>
        <v>-0.17730496453900699</v>
      </c>
      <c r="AB38" s="204">
        <v>0.82269503546099287</v>
      </c>
      <c r="AC38" s="204">
        <f>-7.80141843971631%</f>
        <v>-7.8014184397163108E-2</v>
      </c>
      <c r="AD38" s="204" t="e">
        <v>#VALUE!</v>
      </c>
      <c r="AE38" s="204">
        <v>0.3475177304964539</v>
      </c>
      <c r="AF38" s="204">
        <f>-1.41843971631206%</f>
        <v>-1.4184397163120598E-2</v>
      </c>
      <c r="AG38" s="204" t="e">
        <v>#VALUE!</v>
      </c>
      <c r="AH38" s="204">
        <f>-54.6099290780142%</f>
        <v>-0.54609929078014197</v>
      </c>
      <c r="AI38" s="204">
        <f>-1.41843971631206%</f>
        <v>-1.4184397163120598E-2</v>
      </c>
      <c r="AJ38" s="204">
        <v>0.93617021276595747</v>
      </c>
      <c r="AK38" s="204">
        <f>-5.67375886524823%</f>
        <v>-5.6737588652482296E-2</v>
      </c>
    </row>
    <row r="39" spans="1:37" ht="12.45" customHeight="1">
      <c r="A39" s="138" t="s">
        <v>175</v>
      </c>
      <c r="B39" s="105">
        <v>374000</v>
      </c>
      <c r="C39" s="9">
        <v>197000</v>
      </c>
      <c r="D39" s="9">
        <v>177000</v>
      </c>
      <c r="E39" s="9">
        <v>23000</v>
      </c>
      <c r="F39" s="13" t="s">
        <v>220</v>
      </c>
      <c r="G39" s="9">
        <v>84000</v>
      </c>
      <c r="H39" s="9">
        <v>24000</v>
      </c>
      <c r="I39" s="13" t="s">
        <v>220</v>
      </c>
      <c r="J39" s="9">
        <v>237000</v>
      </c>
      <c r="K39" s="9">
        <v>4000</v>
      </c>
      <c r="L39" s="9">
        <v>345000</v>
      </c>
      <c r="M39" s="9">
        <v>29000</v>
      </c>
      <c r="N39" s="229">
        <f t="shared" si="1"/>
        <v>0.5267379679144385</v>
      </c>
      <c r="O39" s="229">
        <f t="shared" si="2"/>
        <v>0.4732620320855615</v>
      </c>
      <c r="P39" s="229">
        <f t="shared" si="3"/>
        <v>6.1497326203208559E-2</v>
      </c>
      <c r="Q39" s="229" t="e">
        <f t="shared" si="4"/>
        <v>#VALUE!</v>
      </c>
      <c r="R39" s="229">
        <f t="shared" si="5"/>
        <v>0.22459893048128343</v>
      </c>
      <c r="S39" s="229">
        <f t="shared" si="6"/>
        <v>6.4171122994652413E-2</v>
      </c>
      <c r="T39" s="229" t="e">
        <f t="shared" si="7"/>
        <v>#VALUE!</v>
      </c>
      <c r="U39" s="229">
        <f t="shared" si="8"/>
        <v>0.63368983957219249</v>
      </c>
      <c r="V39" s="229">
        <f t="shared" si="9"/>
        <v>1.06951871657754E-2</v>
      </c>
      <c r="W39" s="229">
        <f t="shared" si="10"/>
        <v>0.92245989304812837</v>
      </c>
      <c r="X39" s="229">
        <f t="shared" si="11"/>
        <v>7.7540106951871662E-2</v>
      </c>
      <c r="AA39" s="204">
        <v>0.5267379679144385</v>
      </c>
      <c r="AB39" s="204">
        <f>-47.3262032085562%</f>
        <v>-0.473262032085562</v>
      </c>
      <c r="AC39" s="204">
        <f>-6.14973262032086%</f>
        <v>-6.1497326203208601E-2</v>
      </c>
      <c r="AD39" s="204" t="e">
        <v>#VALUE!</v>
      </c>
      <c r="AE39" s="204">
        <v>0.22459893048128343</v>
      </c>
      <c r="AF39" s="204">
        <v>6.4171122994652413E-2</v>
      </c>
      <c r="AG39" s="204" t="e">
        <v>#VALUE!</v>
      </c>
      <c r="AH39" s="204">
        <f>-63.3689839572192%</f>
        <v>-0.63368983957219205</v>
      </c>
      <c r="AI39" s="204">
        <f>-1.06951871657754%</f>
        <v>-1.0695187165775399E-2</v>
      </c>
      <c r="AJ39" s="204">
        <v>0.92245989304812837</v>
      </c>
      <c r="AK39" s="204">
        <f>-7.75401069518717%</f>
        <v>-7.7540106951871704E-2</v>
      </c>
    </row>
    <row r="40" spans="1:37">
      <c r="A40" s="138" t="s">
        <v>176</v>
      </c>
      <c r="B40" s="107">
        <v>805000</v>
      </c>
      <c r="C40" s="7">
        <v>347000</v>
      </c>
      <c r="D40" s="7">
        <v>458000</v>
      </c>
      <c r="E40" s="7">
        <v>67000</v>
      </c>
      <c r="F40" s="7">
        <v>3000</v>
      </c>
      <c r="G40" s="7">
        <v>96000</v>
      </c>
      <c r="H40" s="7">
        <v>91000</v>
      </c>
      <c r="I40" s="19" t="s">
        <v>191</v>
      </c>
      <c r="J40" s="7">
        <v>537000</v>
      </c>
      <c r="K40" s="7">
        <v>11000</v>
      </c>
      <c r="L40" s="7">
        <v>706000</v>
      </c>
      <c r="M40" s="7">
        <v>99000</v>
      </c>
      <c r="N40" s="204">
        <f t="shared" si="1"/>
        <v>0.43105590062111804</v>
      </c>
      <c r="O40" s="204">
        <f t="shared" si="2"/>
        <v>0.56894409937888202</v>
      </c>
      <c r="P40" s="204">
        <f t="shared" si="2"/>
        <v>8.3229813664596267E-2</v>
      </c>
      <c r="Q40" s="204">
        <f t="shared" si="2"/>
        <v>3.7267080745341614E-3</v>
      </c>
      <c r="R40" s="204">
        <f t="shared" si="2"/>
        <v>0.11925465838509317</v>
      </c>
      <c r="S40" s="204">
        <f t="shared" si="2"/>
        <v>0.11304347826086956</v>
      </c>
      <c r="T40" s="204" t="e">
        <f t="shared" si="2"/>
        <v>#VALUE!</v>
      </c>
      <c r="U40" s="204">
        <f t="shared" si="2"/>
        <v>0.66708074534161488</v>
      </c>
      <c r="V40" s="204">
        <f t="shared" si="2"/>
        <v>1.3664596273291925E-2</v>
      </c>
      <c r="W40" s="204">
        <f t="shared" si="2"/>
        <v>0.87701863354037268</v>
      </c>
      <c r="X40" s="204">
        <f t="shared" si="2"/>
        <v>0.12298136645962733</v>
      </c>
      <c r="AA40" s="204">
        <v>0.43105590062111804</v>
      </c>
      <c r="AB40" s="204">
        <v>0.56894409937888202</v>
      </c>
      <c r="AC40" s="204">
        <f>-8.32298136645963%</f>
        <v>-8.3229813664596294E-2</v>
      </c>
      <c r="AD40" s="204">
        <v>3.7267080745341614E-3</v>
      </c>
      <c r="AE40" s="204">
        <f>-11.9254658385093%</f>
        <v>-0.119254658385093</v>
      </c>
      <c r="AF40" s="204">
        <v>0.11304347826086956</v>
      </c>
      <c r="AG40" s="204" t="e">
        <v>#VALUE!</v>
      </c>
      <c r="AH40" s="204">
        <v>0.66708074534161488</v>
      </c>
      <c r="AI40" s="204">
        <f>-1.36645962732919%</f>
        <v>-1.3664596273291901E-2</v>
      </c>
      <c r="AJ40" s="204">
        <f>-87.7018633540373%</f>
        <v>-0.87701863354037302</v>
      </c>
      <c r="AK40" s="204">
        <v>0.12298136645962733</v>
      </c>
    </row>
    <row r="41" spans="1:37">
      <c r="A41" s="111" t="s">
        <v>223</v>
      </c>
      <c r="B41" s="109">
        <v>3246000</v>
      </c>
      <c r="C41" s="104">
        <v>1466000</v>
      </c>
      <c r="D41" s="104">
        <v>1781000</v>
      </c>
      <c r="E41" s="104">
        <v>324000</v>
      </c>
      <c r="F41" s="152" t="s">
        <v>191</v>
      </c>
      <c r="G41" s="104">
        <v>327000</v>
      </c>
      <c r="H41" s="104">
        <v>219000</v>
      </c>
      <c r="I41" s="152" t="s">
        <v>191</v>
      </c>
      <c r="J41" s="104">
        <v>2305000</v>
      </c>
      <c r="K41" s="104">
        <v>61000</v>
      </c>
      <c r="L41" s="104">
        <v>2907000</v>
      </c>
      <c r="M41" s="104">
        <v>340000</v>
      </c>
      <c r="N41" s="204"/>
      <c r="O41" s="204"/>
      <c r="P41" s="204"/>
      <c r="Q41" s="204"/>
      <c r="R41" s="204"/>
      <c r="S41" s="204"/>
      <c r="T41" s="204"/>
      <c r="U41" s="204"/>
      <c r="V41" s="204"/>
      <c r="W41" s="204"/>
      <c r="X41" s="204"/>
    </row>
    <row r="42" spans="1:37">
      <c r="A42" s="112" t="s">
        <v>174</v>
      </c>
      <c r="B42" s="105">
        <v>82000</v>
      </c>
      <c r="C42" s="9">
        <v>42000</v>
      </c>
      <c r="D42" s="9">
        <v>41000</v>
      </c>
      <c r="E42" s="9">
        <v>12000</v>
      </c>
      <c r="F42" s="13" t="s">
        <v>220</v>
      </c>
      <c r="G42" s="9">
        <v>17000</v>
      </c>
      <c r="H42" s="9">
        <v>2000</v>
      </c>
      <c r="I42" s="13" t="s">
        <v>220</v>
      </c>
      <c r="J42" s="9">
        <v>50000</v>
      </c>
      <c r="K42" s="9">
        <v>1000</v>
      </c>
      <c r="L42" s="9">
        <v>71000</v>
      </c>
      <c r="M42" s="9">
        <v>11000</v>
      </c>
      <c r="N42" s="204"/>
      <c r="O42" s="204"/>
      <c r="P42" s="204"/>
      <c r="Q42" s="204"/>
      <c r="R42" s="204"/>
      <c r="S42" s="204"/>
      <c r="T42" s="204"/>
      <c r="U42" s="204"/>
      <c r="V42" s="204"/>
      <c r="W42" s="204"/>
      <c r="X42" s="204"/>
    </row>
    <row r="43" spans="1:37">
      <c r="A43" s="163" t="s">
        <v>227</v>
      </c>
      <c r="B43" s="105">
        <v>20000</v>
      </c>
      <c r="C43" s="9">
        <v>9000</v>
      </c>
      <c r="D43" s="9">
        <v>11000</v>
      </c>
      <c r="E43" s="9">
        <v>2000</v>
      </c>
      <c r="F43" s="13" t="s">
        <v>220</v>
      </c>
      <c r="G43" s="9">
        <v>9000</v>
      </c>
      <c r="H43" s="13" t="s">
        <v>220</v>
      </c>
      <c r="I43" s="13" t="s">
        <v>220</v>
      </c>
      <c r="J43" s="9">
        <v>9000</v>
      </c>
      <c r="K43" s="13" t="s">
        <v>220</v>
      </c>
      <c r="L43" s="9">
        <v>18000</v>
      </c>
      <c r="M43" s="9">
        <v>1000</v>
      </c>
      <c r="N43" s="204"/>
      <c r="O43" s="204"/>
      <c r="P43" s="204"/>
      <c r="Q43" s="204"/>
      <c r="R43" s="204"/>
      <c r="S43" s="204"/>
      <c r="T43" s="204"/>
      <c r="U43" s="204"/>
      <c r="V43" s="204"/>
      <c r="W43" s="204"/>
      <c r="X43" s="204"/>
    </row>
    <row r="44" spans="1:37">
      <c r="A44" s="163" t="s">
        <v>228</v>
      </c>
      <c r="B44" s="105">
        <v>22000</v>
      </c>
      <c r="C44" s="9">
        <v>6000</v>
      </c>
      <c r="D44" s="9">
        <v>15000</v>
      </c>
      <c r="E44" s="13" t="s">
        <v>220</v>
      </c>
      <c r="F44" s="13" t="s">
        <v>220</v>
      </c>
      <c r="G44" s="13" t="s">
        <v>191</v>
      </c>
      <c r="H44" s="13" t="s">
        <v>220</v>
      </c>
      <c r="I44" s="13" t="s">
        <v>220</v>
      </c>
      <c r="J44" s="9">
        <v>17000</v>
      </c>
      <c r="K44" s="13" t="s">
        <v>220</v>
      </c>
      <c r="L44" s="9">
        <v>21000</v>
      </c>
      <c r="M44" s="13" t="s">
        <v>220</v>
      </c>
      <c r="N44" s="204"/>
      <c r="O44" s="204"/>
      <c r="P44" s="204"/>
      <c r="Q44" s="204"/>
      <c r="R44" s="204"/>
      <c r="S44" s="204"/>
      <c r="T44" s="204"/>
      <c r="U44" s="204"/>
      <c r="V44" s="204"/>
      <c r="W44" s="204"/>
      <c r="X44" s="204"/>
    </row>
    <row r="45" spans="1:37">
      <c r="A45" s="163" t="s">
        <v>229</v>
      </c>
      <c r="B45" s="105">
        <v>1000</v>
      </c>
      <c r="C45" s="13" t="s">
        <v>220</v>
      </c>
      <c r="D45" s="13" t="s">
        <v>191</v>
      </c>
      <c r="E45" s="13" t="s">
        <v>220</v>
      </c>
      <c r="F45" s="13" t="s">
        <v>220</v>
      </c>
      <c r="G45" s="13" t="s">
        <v>220</v>
      </c>
      <c r="H45" s="13" t="s">
        <v>220</v>
      </c>
      <c r="I45" s="13" t="s">
        <v>220</v>
      </c>
      <c r="J45" s="13" t="s">
        <v>191</v>
      </c>
      <c r="K45" s="13" t="s">
        <v>220</v>
      </c>
      <c r="L45" s="13" t="s">
        <v>191</v>
      </c>
      <c r="M45" s="13" t="s">
        <v>220</v>
      </c>
      <c r="N45" s="204"/>
      <c r="O45" s="204"/>
      <c r="P45" s="204"/>
      <c r="Q45" s="204"/>
      <c r="R45" s="204"/>
      <c r="S45" s="204"/>
      <c r="T45" s="204"/>
      <c r="U45" s="204"/>
      <c r="V45" s="204"/>
      <c r="W45" s="204"/>
      <c r="X45" s="204"/>
    </row>
    <row r="46" spans="1:37">
      <c r="A46" s="163" t="s">
        <v>230</v>
      </c>
      <c r="B46" s="105">
        <v>38000</v>
      </c>
      <c r="C46" s="9">
        <v>27000</v>
      </c>
      <c r="D46" s="9">
        <v>12000</v>
      </c>
      <c r="E46" s="13" t="s">
        <v>191</v>
      </c>
      <c r="F46" s="13" t="s">
        <v>220</v>
      </c>
      <c r="G46" s="9">
        <v>4000</v>
      </c>
      <c r="H46" s="9">
        <v>2000</v>
      </c>
      <c r="I46" s="13" t="s">
        <v>220</v>
      </c>
      <c r="J46" s="9">
        <v>22000</v>
      </c>
      <c r="K46" s="13" t="s">
        <v>220</v>
      </c>
      <c r="L46" s="9">
        <v>29000</v>
      </c>
      <c r="M46" s="13" t="s">
        <v>191</v>
      </c>
      <c r="N46" s="204"/>
      <c r="O46" s="204"/>
      <c r="P46" s="204"/>
      <c r="Q46" s="204"/>
      <c r="R46" s="204"/>
      <c r="S46" s="204"/>
      <c r="T46" s="204"/>
      <c r="U46" s="204"/>
      <c r="V46" s="204"/>
      <c r="W46" s="204"/>
      <c r="X46" s="204"/>
    </row>
    <row r="47" spans="1:37">
      <c r="A47" s="163" t="s">
        <v>231</v>
      </c>
      <c r="B47" s="162" t="s">
        <v>191</v>
      </c>
      <c r="C47" s="13" t="s">
        <v>220</v>
      </c>
      <c r="D47" s="13" t="s">
        <v>191</v>
      </c>
      <c r="E47" s="13" t="s">
        <v>220</v>
      </c>
      <c r="F47" s="13" t="s">
        <v>220</v>
      </c>
      <c r="G47" s="13" t="s">
        <v>220</v>
      </c>
      <c r="H47" s="13" t="s">
        <v>220</v>
      </c>
      <c r="I47" s="13" t="s">
        <v>220</v>
      </c>
      <c r="J47" s="13" t="s">
        <v>220</v>
      </c>
      <c r="K47" s="13" t="s">
        <v>220</v>
      </c>
      <c r="L47" s="13" t="s">
        <v>191</v>
      </c>
      <c r="M47" s="13" t="s">
        <v>220</v>
      </c>
      <c r="N47" s="204"/>
      <c r="O47" s="204"/>
      <c r="P47" s="204"/>
      <c r="Q47" s="204"/>
      <c r="R47" s="204"/>
      <c r="S47" s="204"/>
      <c r="T47" s="204"/>
      <c r="U47" s="204"/>
      <c r="V47" s="204"/>
      <c r="W47" s="204"/>
      <c r="X47" s="204"/>
    </row>
    <row r="48" spans="1:37">
      <c r="A48" s="112" t="s">
        <v>175</v>
      </c>
      <c r="B48" s="105">
        <v>1538000</v>
      </c>
      <c r="C48" s="9">
        <v>674000</v>
      </c>
      <c r="D48" s="9">
        <v>865000</v>
      </c>
      <c r="E48" s="9">
        <v>140000</v>
      </c>
      <c r="F48" s="13" t="s">
        <v>220</v>
      </c>
      <c r="G48" s="9">
        <v>220000</v>
      </c>
      <c r="H48" s="9">
        <v>112000</v>
      </c>
      <c r="I48" s="13" t="s">
        <v>220</v>
      </c>
      <c r="J48" s="9">
        <v>1027000</v>
      </c>
      <c r="K48" s="9">
        <v>31000</v>
      </c>
      <c r="L48" s="9">
        <v>1429000</v>
      </c>
      <c r="M48" s="9">
        <v>110000</v>
      </c>
      <c r="N48" s="204"/>
      <c r="O48" s="204"/>
      <c r="P48" s="204"/>
      <c r="Q48" s="204"/>
      <c r="R48" s="204"/>
      <c r="S48" s="204"/>
      <c r="T48" s="204"/>
      <c r="U48" s="204"/>
      <c r="V48" s="204"/>
      <c r="W48" s="204"/>
      <c r="X48" s="204"/>
    </row>
    <row r="49" spans="1:24">
      <c r="A49" s="112" t="s">
        <v>176</v>
      </c>
      <c r="B49" s="110">
        <v>1626000</v>
      </c>
      <c r="C49" s="21">
        <v>750000</v>
      </c>
      <c r="D49" s="21">
        <v>876000</v>
      </c>
      <c r="E49" s="21">
        <v>171000</v>
      </c>
      <c r="F49" s="40" t="s">
        <v>191</v>
      </c>
      <c r="G49" s="21">
        <v>89000</v>
      </c>
      <c r="H49" s="21">
        <v>106000</v>
      </c>
      <c r="I49" s="40" t="s">
        <v>191</v>
      </c>
      <c r="J49" s="21">
        <v>1228000</v>
      </c>
      <c r="K49" s="21">
        <v>30000</v>
      </c>
      <c r="L49" s="21">
        <v>1407000</v>
      </c>
      <c r="M49" s="21">
        <v>219000</v>
      </c>
      <c r="N49" s="204"/>
      <c r="O49" s="204"/>
      <c r="P49" s="204"/>
      <c r="Q49" s="204"/>
      <c r="R49" s="204"/>
      <c r="S49" s="204"/>
      <c r="T49" s="204"/>
      <c r="U49" s="204"/>
      <c r="V49" s="204"/>
      <c r="W49" s="204"/>
      <c r="X49" s="204"/>
    </row>
    <row r="50" spans="1:24">
      <c r="A50" s="344" t="s">
        <v>224</v>
      </c>
      <c r="B50" s="344"/>
      <c r="C50" s="344"/>
      <c r="D50" s="344"/>
      <c r="E50" s="344"/>
      <c r="F50" s="344"/>
      <c r="G50" s="344"/>
      <c r="H50" s="344"/>
      <c r="I50" s="344"/>
      <c r="J50" s="344"/>
      <c r="K50" s="344"/>
      <c r="L50" s="344"/>
      <c r="M50" s="344"/>
      <c r="N50" s="344"/>
    </row>
    <row r="51" spans="1:24">
      <c r="A51" s="321" t="s">
        <v>299</v>
      </c>
      <c r="B51" s="321"/>
      <c r="C51" s="321"/>
      <c r="D51" s="321"/>
      <c r="E51" s="321"/>
      <c r="F51" s="321"/>
      <c r="G51" s="321"/>
      <c r="H51" s="321"/>
      <c r="I51" s="321"/>
      <c r="J51" s="321"/>
      <c r="K51" s="321"/>
      <c r="L51" s="321"/>
      <c r="M51" s="321"/>
      <c r="N51" s="321"/>
    </row>
    <row r="52" spans="1:24">
      <c r="N52" s="354" t="s">
        <v>300</v>
      </c>
      <c r="O52" s="353" t="s">
        <v>301</v>
      </c>
      <c r="P52" s="353" t="s">
        <v>302</v>
      </c>
      <c r="Q52" s="351" t="s">
        <v>303</v>
      </c>
      <c r="R52" s="351" t="s">
        <v>304</v>
      </c>
      <c r="S52" s="351" t="s">
        <v>305</v>
      </c>
      <c r="T52" s="351" t="s">
        <v>306</v>
      </c>
      <c r="U52" s="351" t="s">
        <v>307</v>
      </c>
      <c r="V52" s="351" t="s">
        <v>308</v>
      </c>
      <c r="W52" s="351" t="s">
        <v>309</v>
      </c>
      <c r="X52" s="351" t="s">
        <v>310</v>
      </c>
    </row>
    <row r="53" spans="1:24">
      <c r="N53" s="354"/>
      <c r="O53" s="353"/>
      <c r="P53" s="353"/>
      <c r="Q53" s="352"/>
      <c r="R53" s="352"/>
      <c r="S53" s="352"/>
      <c r="T53" s="352"/>
      <c r="U53" s="352"/>
      <c r="V53" s="352"/>
      <c r="W53" s="352"/>
      <c r="X53" s="352"/>
    </row>
    <row r="54" spans="1:24">
      <c r="N54" s="204">
        <v>0.63604240282685509</v>
      </c>
      <c r="O54" s="204">
        <f>0.8535</f>
        <v>0.85350000000000004</v>
      </c>
      <c r="P54" s="204">
        <v>0.13529411764705881</v>
      </c>
      <c r="Q54" s="204" t="e">
        <v>#VALUE!</v>
      </c>
      <c r="R54" s="204">
        <v>0.41081081081081083</v>
      </c>
      <c r="S54" s="204">
        <v>0.11304347826086956</v>
      </c>
      <c r="T54" s="204" t="e">
        <v>#VALUE!</v>
      </c>
      <c r="U54" s="204">
        <v>0.78280542986425339</v>
      </c>
      <c r="V54" s="204" t="e">
        <v>#VALUE!</v>
      </c>
      <c r="W54" s="204">
        <v>0.93617021276595747</v>
      </c>
      <c r="X54" s="204">
        <v>0.14285714285714285</v>
      </c>
    </row>
    <row r="55" spans="1:24">
      <c r="N55" s="204">
        <v>0.62352941176470589</v>
      </c>
      <c r="O55" s="204">
        <f>0.8394</f>
        <v>0.83940000000000003</v>
      </c>
      <c r="P55" s="204">
        <v>0.12203389830508475</v>
      </c>
      <c r="Q55" s="204" t="e">
        <v>#VALUE!</v>
      </c>
      <c r="R55" s="204">
        <v>0.39328537170263789</v>
      </c>
      <c r="S55" s="204">
        <v>9.9494793277657492E-2</v>
      </c>
      <c r="T55" s="204" t="e">
        <v>#VALUE!</v>
      </c>
      <c r="U55" s="204">
        <v>0.73567921440261863</v>
      </c>
      <c r="V55" s="204" t="e">
        <v>#VALUE!</v>
      </c>
      <c r="W55" s="204">
        <v>0.9297945205479452</v>
      </c>
      <c r="X55" s="204">
        <v>0.14124293785310735</v>
      </c>
    </row>
    <row r="56" spans="1:24">
      <c r="N56" s="204">
        <v>0.61287820015515904</v>
      </c>
      <c r="O56" s="204">
        <f>0.8227</f>
        <v>0.82269999999999999</v>
      </c>
      <c r="P56" s="204">
        <v>0.11526171294837752</v>
      </c>
      <c r="Q56" s="204" t="e">
        <v>#VALUE!</v>
      </c>
      <c r="R56" s="204">
        <v>0.3475177304964539</v>
      </c>
      <c r="S56" s="204">
        <v>9.3871217998448414E-2</v>
      </c>
      <c r="T56" s="204" t="e">
        <v>#VALUE!</v>
      </c>
      <c r="U56" s="204">
        <v>0.72881355932203384</v>
      </c>
      <c r="V56" s="204" t="e">
        <v>#VALUE!</v>
      </c>
      <c r="W56" s="204">
        <v>0.92972972972972978</v>
      </c>
      <c r="X56" s="204">
        <v>0.13898305084745763</v>
      </c>
    </row>
    <row r="57" spans="1:24">
      <c r="N57" s="204">
        <v>0.610165996494484</v>
      </c>
      <c r="O57" s="204">
        <f>0.8151</f>
        <v>0.81510000000000005</v>
      </c>
      <c r="P57" s="204">
        <v>0.11376404494382023</v>
      </c>
      <c r="Q57" s="204" t="e">
        <v>#VALUE!</v>
      </c>
      <c r="R57" s="204">
        <v>0.30584192439862545</v>
      </c>
      <c r="S57" s="204">
        <v>9.1026688453159046E-2</v>
      </c>
      <c r="T57" s="204" t="e">
        <v>#VALUE!</v>
      </c>
      <c r="U57" s="204">
        <v>0.7205056179775281</v>
      </c>
      <c r="V57" s="204">
        <v>3.3898305084745763E-2</v>
      </c>
      <c r="W57" s="204">
        <v>0.92783505154639179</v>
      </c>
      <c r="X57" s="204">
        <v>0.13645978666906702</v>
      </c>
    </row>
    <row r="58" spans="1:24">
      <c r="N58" s="204">
        <v>0.6081460674157303</v>
      </c>
      <c r="O58" s="204">
        <f>0.7618</f>
        <v>0.76180000000000003</v>
      </c>
      <c r="P58" s="204">
        <v>0.11307420494699646</v>
      </c>
      <c r="Q58" s="204" t="e">
        <v>#VALUE!</v>
      </c>
      <c r="R58" s="204">
        <v>0.29282455412691827</v>
      </c>
      <c r="S58" s="204">
        <v>8.6028705348045062E-2</v>
      </c>
      <c r="T58" s="204" t="e">
        <v>#VALUE!</v>
      </c>
      <c r="U58" s="204">
        <v>0.70671378091872794</v>
      </c>
      <c r="V58" s="204">
        <v>2.8444124398037715E-2</v>
      </c>
      <c r="W58" s="204">
        <v>0.92245989304812837</v>
      </c>
      <c r="X58" s="204">
        <v>0.13197424892703863</v>
      </c>
    </row>
    <row r="59" spans="1:24">
      <c r="N59" s="204">
        <v>0.60504869807195394</v>
      </c>
      <c r="O59" s="204">
        <f>0.76</f>
        <v>0.76</v>
      </c>
      <c r="P59" s="204">
        <v>0.11035723302196415</v>
      </c>
      <c r="Q59" s="204" t="e">
        <v>#VALUE!</v>
      </c>
      <c r="R59" s="204">
        <v>0.26923076923076922</v>
      </c>
      <c r="S59" s="204">
        <v>8.1272084805653705E-2</v>
      </c>
      <c r="T59" s="204" t="e">
        <v>#VALUE!</v>
      </c>
      <c r="U59" s="204">
        <v>0.70588235294117652</v>
      </c>
      <c r="V59" s="204">
        <v>2.7583527583527584E-2</v>
      </c>
      <c r="W59" s="204">
        <v>0.92</v>
      </c>
      <c r="X59" s="204">
        <v>0.12990188942909547</v>
      </c>
    </row>
    <row r="60" spans="1:24">
      <c r="N60" s="204">
        <v>0.57697962612896447</v>
      </c>
      <c r="O60" s="204">
        <f>0.7524</f>
        <v>0.75239999999999996</v>
      </c>
      <c r="P60" s="204">
        <v>0.10981396838335905</v>
      </c>
      <c r="Q60" s="204" t="e">
        <v>#VALUE!</v>
      </c>
      <c r="R60" s="204">
        <v>0.26395435375837262</v>
      </c>
      <c r="S60" s="204">
        <v>8.0741707547594396E-2</v>
      </c>
      <c r="T60" s="204" t="e">
        <v>#VALUE!</v>
      </c>
      <c r="U60" s="204">
        <v>0.70102164813898016</v>
      </c>
      <c r="V60" s="204">
        <v>2.6666245897500631E-2</v>
      </c>
      <c r="W60" s="204">
        <v>0.91787941787941785</v>
      </c>
      <c r="X60" s="204">
        <v>0.12742812742812742</v>
      </c>
    </row>
    <row r="61" spans="1:24">
      <c r="N61" s="204">
        <v>0.5660403050108932</v>
      </c>
      <c r="O61" s="204">
        <f>73.9%</f>
        <v>0.7390000000000001</v>
      </c>
      <c r="P61" s="204">
        <v>0.10252298894984932</v>
      </c>
      <c r="Q61" s="204" t="e">
        <v>#VALUE!</v>
      </c>
      <c r="R61" s="204">
        <v>0.24486301369863014</v>
      </c>
      <c r="S61" s="204">
        <v>7.9395085066162566E-2</v>
      </c>
      <c r="T61" s="204" t="e">
        <v>#VALUE!</v>
      </c>
      <c r="U61" s="204">
        <v>0.69923432996593782</v>
      </c>
      <c r="V61" s="204">
        <v>2.5687246507435781E-2</v>
      </c>
      <c r="W61" s="204">
        <v>0.90331620737972906</v>
      </c>
      <c r="X61" s="204">
        <v>0.125</v>
      </c>
    </row>
    <row r="62" spans="1:24">
      <c r="N62" s="204">
        <v>0.5443826603394567</v>
      </c>
      <c r="O62" s="204">
        <f>0.7243</f>
        <v>0.72430000000000005</v>
      </c>
      <c r="P62" s="204">
        <v>0.10229132569558101</v>
      </c>
      <c r="Q62" s="204" t="e">
        <v>#VALUE!</v>
      </c>
      <c r="R62" s="204">
        <v>0.22459893048128343</v>
      </c>
      <c r="S62" s="204">
        <v>7.9379491538520974E-2</v>
      </c>
      <c r="T62" s="204" t="e">
        <v>#VALUE!</v>
      </c>
      <c r="U62" s="204">
        <v>0.69599999999999995</v>
      </c>
      <c r="V62" s="204">
        <v>2.5619377565576872E-2</v>
      </c>
      <c r="W62" s="204">
        <v>0.90224980605120253</v>
      </c>
      <c r="X62" s="204">
        <v>0.12460567823343849</v>
      </c>
    </row>
    <row r="63" spans="1:24">
      <c r="N63" s="204">
        <v>0.54298642533936647</v>
      </c>
      <c r="O63" s="204">
        <f>70.86%</f>
        <v>0.70860000000000001</v>
      </c>
      <c r="P63" s="204">
        <v>0.10031962057944117</v>
      </c>
      <c r="Q63" s="204" t="e">
        <v>#VALUE!</v>
      </c>
      <c r="R63" s="204">
        <v>0.224</v>
      </c>
      <c r="S63" s="204">
        <v>7.6054026760918964E-2</v>
      </c>
      <c r="T63" s="204" t="e">
        <v>#VALUE!</v>
      </c>
      <c r="U63" s="204">
        <v>0.69411764705882351</v>
      </c>
      <c r="V63" s="204">
        <v>2.3929471032745592E-2</v>
      </c>
      <c r="W63" s="204">
        <v>0.9020010261672653</v>
      </c>
      <c r="X63" s="204">
        <v>0.12367491166077739</v>
      </c>
    </row>
    <row r="64" spans="1:24">
      <c r="N64" s="204">
        <v>0.53191489361702127</v>
      </c>
      <c r="O64" s="204">
        <f>0.693</f>
        <v>0.69299999999999995</v>
      </c>
      <c r="P64" s="204">
        <v>9.8986285032796661E-2</v>
      </c>
      <c r="Q64" s="204" t="e">
        <v>#VALUE!</v>
      </c>
      <c r="R64" s="204">
        <v>0.21091968583734483</v>
      </c>
      <c r="S64" s="204">
        <v>7.5134168157423978E-2</v>
      </c>
      <c r="T64" s="204" t="e">
        <v>#VALUE!</v>
      </c>
      <c r="U64" s="204">
        <v>0.69095556677606662</v>
      </c>
      <c r="V64" s="204">
        <v>2.3916235221389383E-2</v>
      </c>
      <c r="W64" s="204">
        <v>0.89838241393612606</v>
      </c>
      <c r="X64" s="204">
        <v>0.12298136645962733</v>
      </c>
    </row>
    <row r="65" spans="14:24">
      <c r="N65" s="204">
        <v>0.5267379679144385</v>
      </c>
      <c r="O65" s="204">
        <f>0.6691</f>
        <v>0.66910000000000003</v>
      </c>
      <c r="P65" s="204">
        <v>9.869310500225327E-2</v>
      </c>
      <c r="Q65" s="204" t="e">
        <v>#VALUE!</v>
      </c>
      <c r="R65" s="204">
        <v>0.21032745591939547</v>
      </c>
      <c r="S65" s="204">
        <v>6.6791219056515652E-2</v>
      </c>
      <c r="T65" s="204" t="e">
        <v>#VALUE!</v>
      </c>
      <c r="U65" s="204">
        <v>0.69009748589020015</v>
      </c>
      <c r="V65" s="204">
        <v>2.247191011235955E-2</v>
      </c>
      <c r="W65" s="204">
        <v>0.89624028565427427</v>
      </c>
      <c r="X65" s="204">
        <v>0.12254901960784313</v>
      </c>
    </row>
    <row r="66" spans="14:24">
      <c r="N66" s="204">
        <v>0.52590125568207391</v>
      </c>
      <c r="O66" s="204">
        <f>0.6616</f>
        <v>0.66159999999999997</v>
      </c>
      <c r="P66" s="204">
        <v>9.6045197740112997E-2</v>
      </c>
      <c r="Q66" s="204" t="e">
        <v>#VALUE!</v>
      </c>
      <c r="R66" s="204">
        <v>0.20457730032695001</v>
      </c>
      <c r="S66" s="204">
        <v>6.4491064491064495E-2</v>
      </c>
      <c r="T66" s="204" t="e">
        <v>#VALUE!</v>
      </c>
      <c r="U66" s="204">
        <v>0.68851823118696664</v>
      </c>
      <c r="V66" s="204">
        <v>2.2078888613247333E-2</v>
      </c>
      <c r="W66" s="204">
        <v>0.89528377298161466</v>
      </c>
      <c r="X66" s="204">
        <v>0.12244030600417279</v>
      </c>
    </row>
    <row r="67" spans="14:24">
      <c r="N67" s="204">
        <v>0.51180357004868249</v>
      </c>
      <c r="O67" s="204">
        <f>0.6554</f>
        <v>0.65539999999999998</v>
      </c>
      <c r="P67" s="204">
        <v>9.5238095238095233E-2</v>
      </c>
      <c r="Q67" s="204">
        <v>4.6396535725332505E-3</v>
      </c>
      <c r="R67" s="204">
        <v>0.19114219114219114</v>
      </c>
      <c r="S67" s="204">
        <v>6.4171122994652413E-2</v>
      </c>
      <c r="T67" s="204" t="e">
        <v>#VALUE!</v>
      </c>
      <c r="U67" s="204">
        <v>0.68842148675121151</v>
      </c>
      <c r="V67" s="204">
        <v>2.2058823529411766E-2</v>
      </c>
      <c r="W67" s="204">
        <v>0.89411764705882357</v>
      </c>
      <c r="X67" s="204">
        <v>0.12217194570135746</v>
      </c>
    </row>
    <row r="68" spans="14:24">
      <c r="N68" s="204">
        <v>0.49946351931330474</v>
      </c>
      <c r="O68" s="204">
        <f>0.6435</f>
        <v>0.64349999999999996</v>
      </c>
      <c r="P68" s="204">
        <v>9.2074592074592079E-2</v>
      </c>
      <c r="Q68" s="204">
        <v>4.5248868778280547E-3</v>
      </c>
      <c r="R68" s="204">
        <v>0.18085106382978725</v>
      </c>
      <c r="S68" s="204">
        <v>6.1797752808988762E-2</v>
      </c>
      <c r="T68" s="204" t="e">
        <v>#VALUE!</v>
      </c>
      <c r="U68" s="204">
        <v>0.68335136388223472</v>
      </c>
      <c r="V68" s="204">
        <v>2.1722265321955005E-2</v>
      </c>
      <c r="W68" s="204">
        <v>0.89168765743073053</v>
      </c>
      <c r="X68" s="204">
        <v>0.11866428145497913</v>
      </c>
    </row>
    <row r="69" spans="14:24">
      <c r="N69" s="204">
        <v>0.47457627118644069</v>
      </c>
      <c r="O69" s="204">
        <f>0.5945</f>
        <v>0.59450000000000003</v>
      </c>
      <c r="P69" s="204">
        <v>9.1328886608517193E-2</v>
      </c>
      <c r="Q69" s="204">
        <v>3.7267080745341614E-3</v>
      </c>
      <c r="R69" s="204">
        <v>0.16213442791174962</v>
      </c>
      <c r="S69" s="204">
        <v>6.0034730836020837E-2</v>
      </c>
      <c r="T69" s="204" t="e">
        <v>#VALUE!</v>
      </c>
      <c r="U69" s="204">
        <v>0.68135593220338986</v>
      </c>
      <c r="V69" s="204">
        <v>2.1445509846375915E-2</v>
      </c>
      <c r="W69" s="204">
        <v>0.89045479302832242</v>
      </c>
      <c r="X69" s="204">
        <v>0.11734061027040436</v>
      </c>
    </row>
    <row r="70" spans="14:24">
      <c r="N70" s="204">
        <v>0.46221662468513852</v>
      </c>
      <c r="O70" s="204">
        <f>0.5857</f>
        <v>0.5857</v>
      </c>
      <c r="P70" s="204">
        <v>9.1026688453159046E-2</v>
      </c>
      <c r="Q70" s="204">
        <v>3.4041394335511985E-3</v>
      </c>
      <c r="R70" s="204">
        <v>0.15389815232086526</v>
      </c>
      <c r="S70" s="204">
        <v>5.8353317346123104E-2</v>
      </c>
      <c r="T70" s="204" t="e">
        <v>#VALUE!</v>
      </c>
      <c r="U70" s="204">
        <v>0.67619047619047623</v>
      </c>
      <c r="V70" s="204">
        <v>2.1408664808715481E-2</v>
      </c>
      <c r="W70" s="204">
        <v>0.8875095008867494</v>
      </c>
      <c r="X70" s="204">
        <v>0.11702127659574468</v>
      </c>
    </row>
    <row r="71" spans="14:24">
      <c r="N71" s="204">
        <v>0.43105590062111804</v>
      </c>
      <c r="O71" s="204">
        <f>0.581</f>
        <v>0.58099999999999996</v>
      </c>
      <c r="P71" s="204">
        <v>9.06801007556675E-2</v>
      </c>
      <c r="Q71" s="204">
        <v>2.8024287716020553E-3</v>
      </c>
      <c r="R71" s="204">
        <v>0.15238095238095239</v>
      </c>
      <c r="S71" s="204">
        <v>5.4237288135593219E-2</v>
      </c>
      <c r="T71" s="204" t="e">
        <v>#VALUE!</v>
      </c>
      <c r="U71" s="204">
        <v>0.67338794370930477</v>
      </c>
      <c r="V71" s="204">
        <v>2.0765250544662311E-2</v>
      </c>
      <c r="W71" s="204">
        <v>0.88534900505206726</v>
      </c>
      <c r="X71" s="204">
        <v>0.11538461538461539</v>
      </c>
    </row>
    <row r="72" spans="14:24">
      <c r="N72" s="204">
        <v>0.41429238673517049</v>
      </c>
      <c r="O72" s="204">
        <f>0.5689</f>
        <v>0.56889999999999996</v>
      </c>
      <c r="P72" s="204">
        <v>8.8531821045998743E-2</v>
      </c>
      <c r="Q72" s="204">
        <v>2.7366153308684385E-3</v>
      </c>
      <c r="R72" s="204">
        <v>0.14950980392156862</v>
      </c>
      <c r="S72" s="204">
        <v>5.3919535462463711E-2</v>
      </c>
      <c r="T72" s="204">
        <v>5.3667262969588547E-3</v>
      </c>
      <c r="U72" s="204">
        <v>0.67024448419797256</v>
      </c>
      <c r="V72" s="204">
        <v>2.0338983050847456E-2</v>
      </c>
      <c r="W72" s="204">
        <v>0.88461538461538458</v>
      </c>
      <c r="X72" s="204">
        <v>0.11465099494793278</v>
      </c>
    </row>
    <row r="73" spans="14:24">
      <c r="N73" s="204">
        <v>0.40952380952380951</v>
      </c>
      <c r="O73" s="204">
        <f>53.78%</f>
        <v>0.53780000000000006</v>
      </c>
      <c r="P73" s="204">
        <v>8.7661515074740307E-2</v>
      </c>
      <c r="Q73" s="204">
        <v>2.5188916876574307E-3</v>
      </c>
      <c r="R73" s="204">
        <v>0.1327452215921025</v>
      </c>
      <c r="S73" s="204">
        <v>5.362776025236593E-2</v>
      </c>
      <c r="T73" s="204">
        <v>4.0916530278232409E-3</v>
      </c>
      <c r="U73" s="204">
        <v>0.66708074534161488</v>
      </c>
      <c r="V73" s="204">
        <v>1.9848771266540641E-2</v>
      </c>
      <c r="W73" s="204">
        <v>0.88297872340425532</v>
      </c>
      <c r="X73" s="204">
        <v>0.11249049911325057</v>
      </c>
    </row>
    <row r="74" spans="14:24">
      <c r="N74" s="204">
        <v>0.40549828178694158</v>
      </c>
      <c r="O74" s="204">
        <f>0.5254</f>
        <v>0.52539999999999998</v>
      </c>
      <c r="P74" s="204">
        <v>8.3229813664596267E-2</v>
      </c>
      <c r="Q74" s="204">
        <v>2.4509803921568627E-3</v>
      </c>
      <c r="R74" s="204">
        <v>0.12840389584575632</v>
      </c>
      <c r="S74" s="204">
        <v>5.0544717506967318E-2</v>
      </c>
      <c r="T74" s="204">
        <v>3.780718336483932E-3</v>
      </c>
      <c r="U74" s="204">
        <v>0.66700708061002179</v>
      </c>
      <c r="V74" s="204">
        <v>1.9639934533551555E-2</v>
      </c>
      <c r="W74" s="204">
        <v>0.88265938972959568</v>
      </c>
      <c r="X74" s="204">
        <v>0.10954520697167756</v>
      </c>
    </row>
    <row r="75" spans="14:24">
      <c r="N75" s="204">
        <v>0.35654885654885698</v>
      </c>
      <c r="O75" s="204">
        <f>0.5005</f>
        <v>0.50049999999999994</v>
      </c>
      <c r="P75" s="204">
        <v>8.1369387248821631E-2</v>
      </c>
      <c r="Q75" s="204">
        <v>2.4341241016922958E-3</v>
      </c>
      <c r="R75" s="204">
        <v>0.12445533769063181</v>
      </c>
      <c r="S75" s="204">
        <v>4.9773755656108594E-2</v>
      </c>
      <c r="T75" s="204">
        <v>3.5915854284248334E-3</v>
      </c>
      <c r="U75" s="204">
        <v>0.66403785488958988</v>
      </c>
      <c r="V75" s="204">
        <v>1.9479228781554364E-2</v>
      </c>
      <c r="W75" s="204">
        <v>0.88235294117647056</v>
      </c>
      <c r="X75" s="204">
        <v>0.10831234256926953</v>
      </c>
    </row>
    <row r="76" spans="14:24">
      <c r="N76" s="204">
        <v>0.35028248587570621</v>
      </c>
      <c r="O76" s="204">
        <f>48.82%</f>
        <v>0.48820000000000002</v>
      </c>
      <c r="P76" s="204">
        <v>7.8431372549019607E-2</v>
      </c>
      <c r="Q76" s="204">
        <v>2.3852116875372688E-3</v>
      </c>
      <c r="R76" s="204">
        <v>0.12179984484096198</v>
      </c>
      <c r="S76" s="204">
        <v>4.7619047619047616E-2</v>
      </c>
      <c r="T76" s="204">
        <v>3.3898305084745762E-3</v>
      </c>
      <c r="U76" s="204">
        <v>0.6542553191489362</v>
      </c>
      <c r="V76" s="204">
        <v>1.9047619047619049E-2</v>
      </c>
      <c r="W76" s="204">
        <v>0.881534486185649</v>
      </c>
      <c r="X76" s="204">
        <v>0.10588235294117647</v>
      </c>
    </row>
    <row r="77" spans="14:24">
      <c r="N77" s="204">
        <v>0.33844877644131066</v>
      </c>
      <c r="O77" s="204">
        <f>0.4741</f>
        <v>0.47410000000000002</v>
      </c>
      <c r="P77" s="204">
        <v>7.8014184397163122E-2</v>
      </c>
      <c r="Q77" s="204">
        <v>2.3104389834068474E-3</v>
      </c>
      <c r="R77" s="204">
        <v>0.11925465838509317</v>
      </c>
      <c r="S77" s="204">
        <v>4.1176470588235294E-2</v>
      </c>
      <c r="T77" s="204">
        <v>3.0610956829083564E-3</v>
      </c>
      <c r="U77" s="204">
        <v>0.64315740308267166</v>
      </c>
      <c r="V77" s="204">
        <v>1.8471010774756286E-2</v>
      </c>
      <c r="W77" s="204">
        <v>0.87755969399582723</v>
      </c>
      <c r="X77" s="204">
        <v>0.10471622701838529</v>
      </c>
    </row>
    <row r="78" spans="14:24">
      <c r="N78" s="204">
        <v>0.33088235294117646</v>
      </c>
      <c r="O78" s="204">
        <f>0.4733</f>
        <v>0.4733</v>
      </c>
      <c r="P78" s="204">
        <v>7.590211530485276E-2</v>
      </c>
      <c r="Q78" s="204">
        <v>2.0252936675817994E-3</v>
      </c>
      <c r="R78" s="204">
        <v>0.11525423728813559</v>
      </c>
      <c r="S78" s="204">
        <v>4.0302267002518891E-2</v>
      </c>
      <c r="T78" s="204">
        <v>2.6273085542075575E-3</v>
      </c>
      <c r="U78" s="204">
        <v>0.63368983957219249</v>
      </c>
      <c r="V78" s="204">
        <v>1.8099547511312219E-2</v>
      </c>
      <c r="W78" s="204">
        <v>0.87745098039215685</v>
      </c>
      <c r="X78" s="204">
        <v>0.10365469439193446</v>
      </c>
    </row>
    <row r="79" spans="14:24">
      <c r="N79" s="204">
        <v>0.30695443645083931</v>
      </c>
      <c r="O79" s="204">
        <f>0.4681</f>
        <v>0.46810000000000002</v>
      </c>
      <c r="P79" s="204">
        <v>7.4468085106382975E-2</v>
      </c>
      <c r="Q79" s="204">
        <v>2.019691996970462E-3</v>
      </c>
      <c r="R79" s="204">
        <v>0.10576848775210571</v>
      </c>
      <c r="S79" s="204">
        <v>3.954802259887006E-2</v>
      </c>
      <c r="T79" s="204">
        <v>2.6103785048832082E-3</v>
      </c>
      <c r="U79" s="204">
        <v>0.63098236775818639</v>
      </c>
      <c r="V79" s="204">
        <v>1.7667844522968199E-2</v>
      </c>
      <c r="W79" s="204">
        <v>0.87701863354037268</v>
      </c>
      <c r="X79" s="204">
        <v>0.10161758606387392</v>
      </c>
    </row>
    <row r="80" spans="14:24">
      <c r="N80" s="204">
        <v>0.29136052698251835</v>
      </c>
      <c r="O80" s="204">
        <f>0.457</f>
        <v>0.45700000000000002</v>
      </c>
      <c r="P80" s="204">
        <v>7.1917808219178078E-2</v>
      </c>
      <c r="Q80" s="204">
        <v>1.8026137899954935E-3</v>
      </c>
      <c r="R80" s="204">
        <v>0.10229132569558101</v>
      </c>
      <c r="S80" s="204">
        <v>3.9215686274509803E-2</v>
      </c>
      <c r="T80" s="204">
        <v>2.4785939612438036E-3</v>
      </c>
      <c r="U80" s="204">
        <v>0.62842465753424659</v>
      </c>
      <c r="V80" s="204">
        <v>1.7005391953546247E-2</v>
      </c>
      <c r="W80" s="204">
        <v>0.87632508833922262</v>
      </c>
      <c r="X80" s="204">
        <v>9.7998973832734732E-2</v>
      </c>
    </row>
    <row r="81" spans="14:24">
      <c r="N81" s="204">
        <v>0.27567567567567569</v>
      </c>
      <c r="O81" s="204">
        <f>0.4556</f>
        <v>0.4556</v>
      </c>
      <c r="P81" s="204">
        <v>7.0209464701318849E-2</v>
      </c>
      <c r="Q81" s="204">
        <v>1.6366612111292963E-3</v>
      </c>
      <c r="R81" s="204">
        <v>9.6045197740112997E-2</v>
      </c>
      <c r="S81" s="204">
        <v>3.7234042553191488E-2</v>
      </c>
      <c r="T81" s="204">
        <v>2.4163731112987279E-3</v>
      </c>
      <c r="U81" s="204">
        <v>0.62681912681912677</v>
      </c>
      <c r="V81" s="204">
        <v>1.5410958904109588E-2</v>
      </c>
      <c r="W81" s="204">
        <v>0.87539432176656151</v>
      </c>
      <c r="X81" s="204">
        <v>9.7750193948797512E-2</v>
      </c>
    </row>
    <row r="82" spans="14:24">
      <c r="N82" s="204">
        <v>0.26122550235673531</v>
      </c>
      <c r="O82" s="204">
        <f>0.434</f>
        <v>0.434</v>
      </c>
      <c r="P82" s="204">
        <v>6.9593647828117708E-2</v>
      </c>
      <c r="Q82" s="204">
        <v>1.554001554001554E-3</v>
      </c>
      <c r="R82" s="204">
        <v>9.0949255238576124E-2</v>
      </c>
      <c r="S82" s="204">
        <v>3.5958904109589039E-2</v>
      </c>
      <c r="T82" s="204">
        <v>2.3713784926281058E-3</v>
      </c>
      <c r="U82" s="204">
        <v>0.62617177603242968</v>
      </c>
      <c r="V82" s="204">
        <v>1.4184397163120567E-2</v>
      </c>
      <c r="W82" s="204">
        <v>0.875</v>
      </c>
      <c r="X82" s="204">
        <v>9.6683792620270895E-2</v>
      </c>
    </row>
    <row r="83" spans="14:24">
      <c r="N83" s="204">
        <v>0.2476340694006309</v>
      </c>
      <c r="O83" s="204">
        <f>0.423</f>
        <v>0.42299999999999999</v>
      </c>
      <c r="P83" s="204">
        <v>6.8728522336769765E-2</v>
      </c>
      <c r="Q83" s="204">
        <v>1.5515903801396431E-3</v>
      </c>
      <c r="R83" s="204">
        <v>8.8235294117647065E-2</v>
      </c>
      <c r="S83" s="204">
        <v>3.4369885433715219E-2</v>
      </c>
      <c r="T83" s="204">
        <v>2.3273855702094647E-3</v>
      </c>
      <c r="U83" s="204">
        <v>0.62121212121212122</v>
      </c>
      <c r="V83" s="204">
        <v>1.3664596273291925E-2</v>
      </c>
      <c r="W83" s="204">
        <v>0.87257187257187252</v>
      </c>
      <c r="X83" s="204">
        <v>8.2120582120582125E-2</v>
      </c>
    </row>
    <row r="84" spans="14:24">
      <c r="N84" s="204">
        <v>0.24</v>
      </c>
      <c r="O84" s="204">
        <f>0.3952</f>
        <v>0.3952</v>
      </c>
      <c r="P84" s="204">
        <v>6.7873303167420809E-2</v>
      </c>
      <c r="Q84" s="204">
        <v>1.4044943820224719E-3</v>
      </c>
      <c r="R84" s="204">
        <v>8.3307557480152589E-2</v>
      </c>
      <c r="S84" s="204">
        <v>3.3350436121087734E-2</v>
      </c>
      <c r="T84" s="204">
        <v>2.3148148148148147E-3</v>
      </c>
      <c r="U84" s="204">
        <v>0.57731958762886593</v>
      </c>
      <c r="V84" s="204">
        <v>1.3513513513513514E-2</v>
      </c>
      <c r="W84" s="204">
        <v>0.87006899764185275</v>
      </c>
      <c r="X84" s="204">
        <v>0.08</v>
      </c>
    </row>
    <row r="85" spans="14:24">
      <c r="N85" s="204">
        <v>0.23776223776223776</v>
      </c>
      <c r="O85" s="204">
        <f>0.3919</f>
        <v>0.39190000000000003</v>
      </c>
      <c r="P85" s="204">
        <v>6.7146282973621102E-2</v>
      </c>
      <c r="Q85" s="204">
        <v>1.2667848999239929E-3</v>
      </c>
      <c r="R85" s="204">
        <v>8.00561797752809E-2</v>
      </c>
      <c r="S85" s="204">
        <v>3.0927835051546393E-2</v>
      </c>
      <c r="T85" s="204">
        <v>2.0738282870178351E-3</v>
      </c>
      <c r="U85" s="204">
        <v>0.56958571074175146</v>
      </c>
      <c r="V85" s="204">
        <v>1.2789768185451638E-2</v>
      </c>
      <c r="W85" s="204">
        <v>0.86802575107296143</v>
      </c>
      <c r="X85" s="204">
        <v>7.7540106951871662E-2</v>
      </c>
    </row>
    <row r="86" spans="14:24">
      <c r="N86" s="204">
        <v>0.18493150684931506</v>
      </c>
      <c r="O86" s="204">
        <f>0.3898</f>
        <v>0.38979999999999998</v>
      </c>
      <c r="P86" s="204">
        <v>6.1497326203208559E-2</v>
      </c>
      <c r="Q86" s="204">
        <v>1.2403870007442323E-3</v>
      </c>
      <c r="R86" s="204">
        <v>7.4204946996466431E-2</v>
      </c>
      <c r="S86" s="204">
        <v>2.9106029106029108E-2</v>
      </c>
      <c r="T86" s="204">
        <v>2.0268558398783888E-3</v>
      </c>
      <c r="U86" s="204">
        <v>0.55744504355039404</v>
      </c>
      <c r="V86" s="204">
        <v>1.2610929472209247E-2</v>
      </c>
      <c r="W86" s="204">
        <v>0.8634952068049867</v>
      </c>
      <c r="X86" s="204">
        <v>7.2164948453608241E-2</v>
      </c>
    </row>
    <row r="87" spans="14:24">
      <c r="N87" s="204">
        <v>0.1773049645390071</v>
      </c>
      <c r="O87" s="204">
        <f>0.3871</f>
        <v>0.3871</v>
      </c>
      <c r="P87" s="204">
        <v>6.1330561330561334E-2</v>
      </c>
      <c r="Q87" s="204">
        <v>1.0395010395010396E-3</v>
      </c>
      <c r="R87" s="204">
        <v>7.4121517365862186E-2</v>
      </c>
      <c r="S87" s="204">
        <v>2.4E-2</v>
      </c>
      <c r="T87" s="204">
        <v>1.554001554001554E-3</v>
      </c>
      <c r="U87" s="204">
        <v>0.54609929078014185</v>
      </c>
      <c r="V87" s="204">
        <v>1.0810810810810811E-2</v>
      </c>
      <c r="W87" s="204">
        <v>0.86101694915254234</v>
      </c>
      <c r="X87" s="204">
        <v>7.0270270270270274E-2</v>
      </c>
    </row>
    <row r="88" spans="14:24">
      <c r="N88" s="204">
        <v>0.16008209338122115</v>
      </c>
      <c r="O88" s="204">
        <f>0.3765</f>
        <v>0.3765</v>
      </c>
      <c r="P88" s="204">
        <v>0.04</v>
      </c>
      <c r="Q88" s="204">
        <v>1.026167265264238E-3</v>
      </c>
      <c r="R88" s="204">
        <v>7.2398190045248875E-2</v>
      </c>
      <c r="S88" s="204">
        <v>1.6216216216216217E-2</v>
      </c>
      <c r="T88" s="204">
        <v>1.4884644008930786E-3</v>
      </c>
      <c r="U88" s="204">
        <v>0.51891891891891895</v>
      </c>
      <c r="V88" s="204">
        <v>1.06951871657754E-2</v>
      </c>
      <c r="W88" s="204">
        <v>0.85875706214689262</v>
      </c>
      <c r="X88" s="204">
        <v>7.0205479452054798E-2</v>
      </c>
    </row>
    <row r="89" spans="14:24">
      <c r="N89" s="204">
        <v>0.14648117839607203</v>
      </c>
      <c r="O89" s="204">
        <f>0.3604</f>
        <v>0.3604</v>
      </c>
      <c r="P89" s="204">
        <v>3.783783783783784E-2</v>
      </c>
      <c r="Q89" s="204">
        <v>4.1476565740356696E-4</v>
      </c>
      <c r="R89" s="204">
        <v>6.9895134794545205E-2</v>
      </c>
      <c r="S89" s="204">
        <v>1.4184397163120567E-2</v>
      </c>
      <c r="T89" s="204">
        <v>1.2594458438287153E-3</v>
      </c>
      <c r="U89" s="204">
        <v>0.46682653876898483</v>
      </c>
      <c r="V89" s="204">
        <v>8.0000000000000002E-3</v>
      </c>
      <c r="W89" s="204">
        <v>0.8571428571428571</v>
      </c>
      <c r="X89" s="204">
        <v>5.6737588652482268E-2</v>
      </c>
    </row>
  </sheetData>
  <sortState xmlns:xlrd2="http://schemas.microsoft.com/office/spreadsheetml/2017/richdata2" ref="X54:X89">
    <sortCondition descending="1" ref="X89"/>
  </sortState>
  <mergeCells count="44">
    <mergeCell ref="AI3:AI4"/>
    <mergeCell ref="A51:N51"/>
    <mergeCell ref="U3:U4"/>
    <mergeCell ref="V3:V4"/>
    <mergeCell ref="W3:W4"/>
    <mergeCell ref="X3:X4"/>
    <mergeCell ref="A50:N50"/>
    <mergeCell ref="A1:Y1"/>
    <mergeCell ref="A3:A4"/>
    <mergeCell ref="B3:B4"/>
    <mergeCell ref="C3:C4"/>
    <mergeCell ref="D3:D4"/>
    <mergeCell ref="E3:E4"/>
    <mergeCell ref="F3:K3"/>
    <mergeCell ref="L3:L4"/>
    <mergeCell ref="M3:M4"/>
    <mergeCell ref="N3:N4"/>
    <mergeCell ref="O3:O4"/>
    <mergeCell ref="P3:P4"/>
    <mergeCell ref="Q3:Q4"/>
    <mergeCell ref="R3:R4"/>
    <mergeCell ref="S3:S4"/>
    <mergeCell ref="T3:T4"/>
    <mergeCell ref="N52:N53"/>
    <mergeCell ref="O52:O53"/>
    <mergeCell ref="P52:P53"/>
    <mergeCell ref="Q52:Q53"/>
    <mergeCell ref="R52:R53"/>
    <mergeCell ref="X52:X53"/>
    <mergeCell ref="AK3:AK4"/>
    <mergeCell ref="S52:S53"/>
    <mergeCell ref="T52:T53"/>
    <mergeCell ref="U52:U53"/>
    <mergeCell ref="V52:V53"/>
    <mergeCell ref="W52:W53"/>
    <mergeCell ref="AA3:AA4"/>
    <mergeCell ref="AB3:AB4"/>
    <mergeCell ref="AC3:AC4"/>
    <mergeCell ref="AD3:AD4"/>
    <mergeCell ref="AJ3:AJ4"/>
    <mergeCell ref="AE3:AE4"/>
    <mergeCell ref="AF3:AF4"/>
    <mergeCell ref="AG3:AG4"/>
    <mergeCell ref="AH3:AH4"/>
  </mergeCells>
  <conditionalFormatting sqref="N5:N40">
    <cfRule type="colorScale" priority="38">
      <colorScale>
        <cfvo type="min"/>
        <cfvo type="percentile" val="50"/>
        <cfvo type="max"/>
        <color rgb="FFF8696B"/>
        <color rgb="FFFFEB84"/>
        <color rgb="FF63BE7B"/>
      </colorScale>
    </cfRule>
  </conditionalFormatting>
  <conditionalFormatting sqref="N54:N89">
    <cfRule type="colorScale" priority="15">
      <colorScale>
        <cfvo type="min"/>
        <cfvo type="percentile" val="50"/>
        <cfvo type="max"/>
        <color rgb="FFF8696B"/>
        <color rgb="FFFFEB84"/>
        <color rgb="FF63BE7B"/>
      </colorScale>
    </cfRule>
  </conditionalFormatting>
  <conditionalFormatting sqref="O5:O40">
    <cfRule type="colorScale" priority="37">
      <colorScale>
        <cfvo type="min"/>
        <cfvo type="percentile" val="50"/>
        <cfvo type="max"/>
        <color rgb="FFF8696B"/>
        <color rgb="FFFFEB84"/>
        <color rgb="FF63BE7B"/>
      </colorScale>
    </cfRule>
  </conditionalFormatting>
  <conditionalFormatting sqref="O54:O89">
    <cfRule type="colorScale" priority="17">
      <colorScale>
        <cfvo type="min"/>
        <cfvo type="percentile" val="50"/>
        <cfvo type="max"/>
        <color rgb="FFF8696B"/>
        <color rgb="FFFFEB84"/>
        <color rgb="FF63BE7B"/>
      </colorScale>
    </cfRule>
  </conditionalFormatting>
  <conditionalFormatting sqref="P5:P40">
    <cfRule type="colorScale" priority="36">
      <colorScale>
        <cfvo type="min"/>
        <cfvo type="percentile" val="50"/>
        <cfvo type="max"/>
        <color rgb="FFF8696B"/>
        <color rgb="FFFFEB84"/>
        <color rgb="FF63BE7B"/>
      </colorScale>
    </cfRule>
  </conditionalFormatting>
  <conditionalFormatting sqref="P54:P89">
    <cfRule type="colorScale" priority="16">
      <colorScale>
        <cfvo type="min"/>
        <cfvo type="percentile" val="50"/>
        <cfvo type="max"/>
        <color rgb="FFF8696B"/>
        <color rgb="FFFFEB84"/>
        <color rgb="FF63BE7B"/>
      </colorScale>
    </cfRule>
  </conditionalFormatting>
  <conditionalFormatting sqref="Q5:Q40">
    <cfRule type="colorScale" priority="35">
      <colorScale>
        <cfvo type="min"/>
        <cfvo type="percentile" val="50"/>
        <cfvo type="max"/>
        <color rgb="FFF8696B"/>
        <color rgb="FFFFEB84"/>
        <color rgb="FF63BE7B"/>
      </colorScale>
    </cfRule>
  </conditionalFormatting>
  <conditionalFormatting sqref="Q54:Q89">
    <cfRule type="colorScale" priority="7">
      <colorScale>
        <cfvo type="min"/>
        <cfvo type="percentile" val="50"/>
        <cfvo type="max"/>
        <color rgb="FFF8696B"/>
        <color rgb="FFFFEB84"/>
        <color rgb="FF63BE7B"/>
      </colorScale>
    </cfRule>
  </conditionalFormatting>
  <conditionalFormatting sqref="R5:R40">
    <cfRule type="colorScale" priority="34">
      <colorScale>
        <cfvo type="min"/>
        <cfvo type="percentile" val="50"/>
        <cfvo type="max"/>
        <color rgb="FFF8696B"/>
        <color rgb="FFFFEB84"/>
        <color rgb="FF63BE7B"/>
      </colorScale>
    </cfRule>
  </conditionalFormatting>
  <conditionalFormatting sqref="R54:R89">
    <cfRule type="colorScale" priority="8">
      <colorScale>
        <cfvo type="min"/>
        <cfvo type="percentile" val="50"/>
        <cfvo type="max"/>
        <color rgb="FFF8696B"/>
        <color rgb="FFFFEB84"/>
        <color rgb="FF63BE7B"/>
      </colorScale>
    </cfRule>
  </conditionalFormatting>
  <conditionalFormatting sqref="S5:S40">
    <cfRule type="colorScale" priority="33">
      <colorScale>
        <cfvo type="min"/>
        <cfvo type="percentile" val="50"/>
        <cfvo type="max"/>
        <color rgb="FFF8696B"/>
        <color rgb="FFFFEB84"/>
        <color rgb="FF63BE7B"/>
      </colorScale>
    </cfRule>
  </conditionalFormatting>
  <conditionalFormatting sqref="S54:S89">
    <cfRule type="colorScale" priority="9">
      <colorScale>
        <cfvo type="min"/>
        <cfvo type="percentile" val="50"/>
        <cfvo type="max"/>
        <color rgb="FFF8696B"/>
        <color rgb="FFFFEB84"/>
        <color rgb="FF63BE7B"/>
      </colorScale>
    </cfRule>
  </conditionalFormatting>
  <conditionalFormatting sqref="T5:T40">
    <cfRule type="colorScale" priority="32">
      <colorScale>
        <cfvo type="min"/>
        <cfvo type="percentile" val="50"/>
        <cfvo type="max"/>
        <color rgb="FFF8696B"/>
        <color rgb="FFFFEB84"/>
        <color rgb="FF63BE7B"/>
      </colorScale>
    </cfRule>
  </conditionalFormatting>
  <conditionalFormatting sqref="T54:T89">
    <cfRule type="colorScale" priority="10">
      <colorScale>
        <cfvo type="min"/>
        <cfvo type="percentile" val="50"/>
        <cfvo type="max"/>
        <color rgb="FFF8696B"/>
        <color rgb="FFFFEB84"/>
        <color rgb="FF63BE7B"/>
      </colorScale>
    </cfRule>
  </conditionalFormatting>
  <conditionalFormatting sqref="U5:U40">
    <cfRule type="colorScale" priority="31">
      <colorScale>
        <cfvo type="min"/>
        <cfvo type="percentile" val="50"/>
        <cfvo type="max"/>
        <color rgb="FFF8696B"/>
        <color rgb="FFFFEB84"/>
        <color rgb="FF63BE7B"/>
      </colorScale>
    </cfRule>
  </conditionalFormatting>
  <conditionalFormatting sqref="U54:U89">
    <cfRule type="colorScale" priority="11">
      <colorScale>
        <cfvo type="min"/>
        <cfvo type="percentile" val="50"/>
        <cfvo type="max"/>
        <color rgb="FFF8696B"/>
        <color rgb="FFFFEB84"/>
        <color rgb="FF63BE7B"/>
      </colorScale>
    </cfRule>
  </conditionalFormatting>
  <conditionalFormatting sqref="V5:V40">
    <cfRule type="colorScale" priority="30">
      <colorScale>
        <cfvo type="min"/>
        <cfvo type="percentile" val="50"/>
        <cfvo type="max"/>
        <color rgb="FFF8696B"/>
        <color rgb="FFFFEB84"/>
        <color rgb="FF63BE7B"/>
      </colorScale>
    </cfRule>
  </conditionalFormatting>
  <conditionalFormatting sqref="V54:V89">
    <cfRule type="colorScale" priority="6">
      <colorScale>
        <cfvo type="min"/>
        <cfvo type="percentile" val="50"/>
        <cfvo type="max"/>
        <color rgb="FFF8696B"/>
        <color rgb="FFFFEB84"/>
        <color rgb="FF63BE7B"/>
      </colorScale>
    </cfRule>
  </conditionalFormatting>
  <conditionalFormatting sqref="W3:W40">
    <cfRule type="colorScale" priority="25">
      <colorScale>
        <cfvo type="min"/>
        <cfvo type="percentile" val="50"/>
        <cfvo type="max"/>
        <color rgb="FFF8696B"/>
        <color rgb="FFFFEB84"/>
        <color rgb="FF63BE7B"/>
      </colorScale>
    </cfRule>
  </conditionalFormatting>
  <conditionalFormatting sqref="W5:W40">
    <cfRule type="colorScale" priority="29">
      <colorScale>
        <cfvo type="min"/>
        <cfvo type="percentile" val="50"/>
        <cfvo type="max"/>
        <color rgb="FFF8696B"/>
        <color rgb="FFFFEB84"/>
        <color rgb="FF63BE7B"/>
      </colorScale>
    </cfRule>
  </conditionalFormatting>
  <conditionalFormatting sqref="W52:W53">
    <cfRule type="colorScale" priority="12">
      <colorScale>
        <cfvo type="min"/>
        <cfvo type="percentile" val="50"/>
        <cfvo type="max"/>
        <color rgb="FFF8696B"/>
        <color rgb="FFFFEB84"/>
        <color rgb="FF63BE7B"/>
      </colorScale>
    </cfRule>
  </conditionalFormatting>
  <conditionalFormatting sqref="W54:W89">
    <cfRule type="colorScale" priority="5">
      <colorScale>
        <cfvo type="min"/>
        <cfvo type="percentile" val="50"/>
        <cfvo type="max"/>
        <color rgb="FFF8696B"/>
        <color rgb="FFFFEB84"/>
        <color rgb="FF63BE7B"/>
      </colorScale>
    </cfRule>
  </conditionalFormatting>
  <conditionalFormatting sqref="W3:X40">
    <cfRule type="colorScale" priority="27">
      <colorScale>
        <cfvo type="min"/>
        <cfvo type="percentile" val="50"/>
        <cfvo type="max"/>
        <color rgb="FFF8696B"/>
        <color rgb="FFFFEB84"/>
        <color rgb="FF63BE7B"/>
      </colorScale>
    </cfRule>
  </conditionalFormatting>
  <conditionalFormatting sqref="W52:X53">
    <cfRule type="colorScale" priority="14">
      <colorScale>
        <cfvo type="min"/>
        <cfvo type="percentile" val="50"/>
        <cfvo type="max"/>
        <color rgb="FFF8696B"/>
        <color rgb="FFFFEB84"/>
        <color rgb="FF63BE7B"/>
      </colorScale>
    </cfRule>
  </conditionalFormatting>
  <conditionalFormatting sqref="X3:X40">
    <cfRule type="colorScale" priority="26">
      <colorScale>
        <cfvo type="min"/>
        <cfvo type="percentile" val="50"/>
        <cfvo type="max"/>
        <color rgb="FFF8696B"/>
        <color rgb="FFFFEB84"/>
        <color rgb="FF63BE7B"/>
      </colorScale>
    </cfRule>
  </conditionalFormatting>
  <conditionalFormatting sqref="X5:X40">
    <cfRule type="colorScale" priority="28">
      <colorScale>
        <cfvo type="min"/>
        <cfvo type="percentile" val="50"/>
        <cfvo type="max"/>
        <color rgb="FFF8696B"/>
        <color rgb="FFFFEB84"/>
        <color rgb="FF63BE7B"/>
      </colorScale>
    </cfRule>
  </conditionalFormatting>
  <conditionalFormatting sqref="X52:X53">
    <cfRule type="colorScale" priority="13">
      <colorScale>
        <cfvo type="min"/>
        <cfvo type="percentile" val="50"/>
        <cfvo type="max"/>
        <color rgb="FFF8696B"/>
        <color rgb="FFFFEB84"/>
        <color rgb="FF63BE7B"/>
      </colorScale>
    </cfRule>
  </conditionalFormatting>
  <conditionalFormatting sqref="X54:X89">
    <cfRule type="colorScale" priority="4">
      <colorScale>
        <cfvo type="min"/>
        <cfvo type="percentile" val="50"/>
        <cfvo type="max"/>
        <color rgb="FFF8696B"/>
        <color rgb="FFFFEB84"/>
        <color rgb="FF63BE7B"/>
      </colorScale>
    </cfRule>
  </conditionalFormatting>
  <conditionalFormatting sqref="AJ3:AJ4">
    <cfRule type="colorScale" priority="1">
      <colorScale>
        <cfvo type="min"/>
        <cfvo type="percentile" val="50"/>
        <cfvo type="max"/>
        <color rgb="FFF8696B"/>
        <color rgb="FFFFEB84"/>
        <color rgb="FF63BE7B"/>
      </colorScale>
    </cfRule>
  </conditionalFormatting>
  <conditionalFormatting sqref="AJ3:AK4">
    <cfRule type="colorScale" priority="3">
      <colorScale>
        <cfvo type="min"/>
        <cfvo type="percentile" val="50"/>
        <cfvo type="max"/>
        <color rgb="FFF8696B"/>
        <color rgb="FFFFEB84"/>
        <color rgb="FF63BE7B"/>
      </colorScale>
    </cfRule>
  </conditionalFormatting>
  <conditionalFormatting sqref="AK3:AK4">
    <cfRule type="colorScale" priority="2">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N102"/>
  <sheetViews>
    <sheetView topLeftCell="D1" workbookViewId="0">
      <pane ySplit="4" topLeftCell="A21" activePane="bottomLeft" state="frozen"/>
      <selection pane="bottomLeft" activeCell="AA102" sqref="AA102"/>
    </sheetView>
  </sheetViews>
  <sheetFormatPr defaultRowHeight="13.2"/>
  <cols>
    <col min="1" max="1" width="56.77734375" customWidth="1"/>
    <col min="2" max="2" width="14.44140625" style="164" customWidth="1"/>
    <col min="3" max="4" width="14.44140625" customWidth="1"/>
    <col min="5" max="5" width="14.109375" style="167" customWidth="1"/>
    <col min="6" max="7" width="14.44140625" customWidth="1"/>
    <col min="8" max="8" width="14.44140625" style="170" customWidth="1"/>
    <col min="9" max="9" width="12.6640625" customWidth="1"/>
    <col min="10" max="10" width="12.77734375" customWidth="1"/>
    <col min="11" max="11" width="12.77734375" style="173" customWidth="1"/>
    <col min="12" max="12" width="11.109375" customWidth="1"/>
    <col min="13" max="13" width="12.6640625" customWidth="1"/>
    <col min="14" max="14" width="12.77734375" style="176" customWidth="1"/>
    <col min="15" max="16" width="12.77734375" customWidth="1"/>
    <col min="17" max="17" width="9" bestFit="1" customWidth="1"/>
  </cols>
  <sheetData>
    <row r="1" spans="1:40" ht="39" customHeight="1">
      <c r="A1" s="321" t="s">
        <v>311</v>
      </c>
      <c r="B1" s="321"/>
      <c r="C1" s="321"/>
      <c r="D1" s="321"/>
      <c r="E1" s="321"/>
      <c r="F1" s="321"/>
      <c r="G1" s="321"/>
      <c r="H1" s="321"/>
      <c r="I1" s="321"/>
      <c r="J1" s="321"/>
      <c r="K1" s="321"/>
      <c r="L1" s="321"/>
      <c r="M1" s="321"/>
      <c r="N1" s="321"/>
      <c r="O1" s="321"/>
      <c r="P1" s="321"/>
      <c r="Q1" s="321"/>
    </row>
    <row r="2" spans="1:40" ht="1.95" customHeight="1"/>
    <row r="3" spans="1:40" ht="13.95" customHeight="1">
      <c r="A3" s="339" t="s">
        <v>312</v>
      </c>
      <c r="B3" s="355" t="s">
        <v>232</v>
      </c>
      <c r="C3" s="356"/>
      <c r="D3" s="357"/>
      <c r="E3" s="358" t="s">
        <v>218</v>
      </c>
      <c r="F3" s="359"/>
      <c r="G3" s="360"/>
      <c r="H3" s="361" t="s">
        <v>219</v>
      </c>
      <c r="I3" s="362"/>
      <c r="J3" s="363"/>
      <c r="K3" s="364" t="s">
        <v>221</v>
      </c>
      <c r="L3" s="365"/>
      <c r="M3" s="366"/>
      <c r="N3" s="367" t="s">
        <v>223</v>
      </c>
      <c r="O3" s="368"/>
      <c r="P3" s="369"/>
      <c r="Q3" s="342" t="s">
        <v>287</v>
      </c>
      <c r="R3" s="343" t="s">
        <v>288</v>
      </c>
      <c r="S3" s="319" t="s">
        <v>313</v>
      </c>
      <c r="T3" s="319" t="s">
        <v>314</v>
      </c>
      <c r="U3" s="319" t="s">
        <v>315</v>
      </c>
      <c r="V3" s="319" t="s">
        <v>316</v>
      </c>
      <c r="W3" s="319" t="s">
        <v>317</v>
      </c>
      <c r="X3" s="319" t="s">
        <v>318</v>
      </c>
      <c r="Y3" s="319" t="s">
        <v>319</v>
      </c>
      <c r="Z3" s="319" t="s">
        <v>320</v>
      </c>
      <c r="AA3" s="319" t="s">
        <v>321</v>
      </c>
      <c r="AD3" s="342" t="s">
        <v>287</v>
      </c>
      <c r="AE3" s="343" t="s">
        <v>288</v>
      </c>
      <c r="AF3" s="319" t="s">
        <v>313</v>
      </c>
      <c r="AG3" s="319" t="s">
        <v>314</v>
      </c>
      <c r="AH3" s="319" t="s">
        <v>315</v>
      </c>
      <c r="AI3" s="319" t="s">
        <v>316</v>
      </c>
      <c r="AJ3" s="319" t="s">
        <v>317</v>
      </c>
      <c r="AK3" s="319" t="s">
        <v>318</v>
      </c>
      <c r="AL3" s="319" t="s">
        <v>319</v>
      </c>
      <c r="AM3" s="319" t="s">
        <v>320</v>
      </c>
      <c r="AN3" s="319" t="s">
        <v>321</v>
      </c>
    </row>
    <row r="4" spans="1:40" ht="13.95" customHeight="1">
      <c r="A4" s="341"/>
      <c r="B4" s="165" t="s">
        <v>167</v>
      </c>
      <c r="C4" s="41" t="s">
        <v>282</v>
      </c>
      <c r="D4" s="23" t="s">
        <v>283</v>
      </c>
      <c r="E4" s="168" t="s">
        <v>167</v>
      </c>
      <c r="F4" s="41" t="s">
        <v>282</v>
      </c>
      <c r="G4" s="23" t="s">
        <v>283</v>
      </c>
      <c r="H4" s="171" t="s">
        <v>167</v>
      </c>
      <c r="I4" s="41" t="s">
        <v>282</v>
      </c>
      <c r="J4" s="23" t="s">
        <v>283</v>
      </c>
      <c r="K4" s="174" t="s">
        <v>167</v>
      </c>
      <c r="L4" s="5" t="s">
        <v>282</v>
      </c>
      <c r="M4" s="23" t="s">
        <v>283</v>
      </c>
      <c r="N4" s="108" t="s">
        <v>167</v>
      </c>
      <c r="O4" s="41" t="s">
        <v>282</v>
      </c>
      <c r="P4" s="23" t="s">
        <v>283</v>
      </c>
      <c r="Q4" s="342"/>
      <c r="R4" s="343"/>
      <c r="S4" s="319"/>
      <c r="T4" s="319"/>
      <c r="U4" s="319"/>
      <c r="V4" s="319"/>
      <c r="W4" s="319"/>
      <c r="X4" s="319"/>
      <c r="Y4" s="319"/>
      <c r="Z4" s="319"/>
      <c r="AA4" s="319"/>
      <c r="AD4" s="342"/>
      <c r="AE4" s="343"/>
      <c r="AF4" s="319"/>
      <c r="AG4" s="319"/>
      <c r="AH4" s="319"/>
      <c r="AI4" s="319"/>
      <c r="AJ4" s="319"/>
      <c r="AK4" s="319"/>
      <c r="AL4" s="319"/>
      <c r="AM4" s="319"/>
      <c r="AN4" s="319"/>
    </row>
    <row r="5" spans="1:40" ht="12.45" customHeight="1">
      <c r="A5" s="6" t="s">
        <v>322</v>
      </c>
      <c r="B5" s="126">
        <v>44153000</v>
      </c>
      <c r="C5" s="7">
        <v>21594000</v>
      </c>
      <c r="D5" s="7">
        <v>22559000</v>
      </c>
      <c r="E5" s="169">
        <v>26882000</v>
      </c>
      <c r="F5" s="7">
        <v>12652000</v>
      </c>
      <c r="G5" s="7">
        <v>14229000</v>
      </c>
      <c r="H5" s="172">
        <v>12668000</v>
      </c>
      <c r="I5" s="7">
        <v>6974000</v>
      </c>
      <c r="J5" s="7">
        <v>5695000</v>
      </c>
      <c r="K5" s="175">
        <v>1877000</v>
      </c>
      <c r="L5" s="7">
        <v>758000</v>
      </c>
      <c r="M5" s="7">
        <v>1119000</v>
      </c>
      <c r="N5" s="177">
        <v>2726000</v>
      </c>
      <c r="O5" s="7">
        <v>1210000</v>
      </c>
      <c r="P5" s="7">
        <v>1516000</v>
      </c>
      <c r="Q5" s="204">
        <f>C5/$B5</f>
        <v>0.48907209023169435</v>
      </c>
      <c r="R5" s="204">
        <f>D5/$B5</f>
        <v>0.51092790976830571</v>
      </c>
      <c r="S5" s="204">
        <f>E5/$B5</f>
        <v>0.60883745158879354</v>
      </c>
      <c r="T5" s="204">
        <f t="shared" ref="T5:AA5" si="0">F5/$B5</f>
        <v>0.28654904536498088</v>
      </c>
      <c r="U5" s="204">
        <f t="shared" si="0"/>
        <v>0.32226575770615812</v>
      </c>
      <c r="V5" s="204">
        <f t="shared" si="0"/>
        <v>0.28691142164745315</v>
      </c>
      <c r="W5" s="204">
        <f t="shared" si="0"/>
        <v>0.15795076212261908</v>
      </c>
      <c r="X5" s="204">
        <f t="shared" si="0"/>
        <v>0.12898330804248861</v>
      </c>
      <c r="Y5" s="204">
        <f t="shared" si="0"/>
        <v>4.2511267637533122E-2</v>
      </c>
      <c r="Z5" s="204">
        <f t="shared" si="0"/>
        <v>1.716757638212579E-2</v>
      </c>
      <c r="AA5" s="204">
        <f t="shared" si="0"/>
        <v>2.5343691255407332E-2</v>
      </c>
      <c r="AD5" s="204">
        <v>0.70114942528735635</v>
      </c>
      <c r="AE5" s="204">
        <v>0.89980353634577603</v>
      </c>
      <c r="AF5" s="204">
        <v>0.7874396135265701</v>
      </c>
      <c r="AG5" s="204">
        <v>0.45525586085202924</v>
      </c>
      <c r="AH5" s="204">
        <v>0.61111111111111116</v>
      </c>
      <c r="AI5" s="204">
        <v>0.45664739884393063</v>
      </c>
      <c r="AJ5" s="204">
        <v>0.2988505747126437</v>
      </c>
      <c r="AK5" s="204">
        <v>0.26943942133815552</v>
      </c>
      <c r="AL5" s="204" t="e">
        <v>#VALUE!</v>
      </c>
      <c r="AM5" s="204" t="e">
        <v>#VALUE!</v>
      </c>
      <c r="AN5" s="204" t="e">
        <v>#VALUE!</v>
      </c>
    </row>
    <row r="6" spans="1:40" ht="12.45" customHeight="1">
      <c r="A6" s="8" t="s">
        <v>323</v>
      </c>
      <c r="B6" s="166">
        <v>6586000</v>
      </c>
      <c r="C6" s="9">
        <v>3615000</v>
      </c>
      <c r="D6" s="9">
        <v>2971000</v>
      </c>
      <c r="E6" s="119">
        <v>4982000</v>
      </c>
      <c r="F6" s="9">
        <v>2615000</v>
      </c>
      <c r="G6" s="9">
        <v>2367000</v>
      </c>
      <c r="H6" s="143">
        <v>1298000</v>
      </c>
      <c r="I6" s="9">
        <v>814000</v>
      </c>
      <c r="J6" s="9">
        <v>484000</v>
      </c>
      <c r="K6" s="137">
        <v>58000</v>
      </c>
      <c r="L6" s="9">
        <v>29000</v>
      </c>
      <c r="M6" s="9">
        <v>29000</v>
      </c>
      <c r="N6" s="104">
        <v>249000</v>
      </c>
      <c r="O6" s="9">
        <v>157000</v>
      </c>
      <c r="P6" s="9">
        <v>92000</v>
      </c>
      <c r="Q6" s="204">
        <f t="shared" ref="Q6:Q39" si="1">C6/$B6</f>
        <v>0.54889158821743089</v>
      </c>
      <c r="R6" s="204">
        <f t="shared" ref="R6:Z40" si="2">D6/$B6</f>
        <v>0.45110841178256911</v>
      </c>
      <c r="S6" s="204">
        <f t="shared" ref="S6:S39" si="3">E6/$B6</f>
        <v>0.7564530822957789</v>
      </c>
      <c r="T6" s="204">
        <f t="shared" ref="T6:T39" si="4">F6/$B6</f>
        <v>0.39705435772851505</v>
      </c>
      <c r="U6" s="204">
        <f t="shared" ref="U6:U39" si="5">G6/$B6</f>
        <v>0.35939872456726391</v>
      </c>
      <c r="V6" s="204">
        <f t="shared" ref="V6:V39" si="6">H6/$B6</f>
        <v>0.19708472517461281</v>
      </c>
      <c r="W6" s="204">
        <f t="shared" ref="W6:W39" si="7">I6/$B6</f>
        <v>0.12359550561797752</v>
      </c>
      <c r="X6" s="204">
        <f t="shared" ref="X6:X39" si="8">J6/$B6</f>
        <v>7.3489219556635288E-2</v>
      </c>
      <c r="Y6" s="204">
        <f t="shared" ref="Y6:Y39" si="9">K6/$B6</f>
        <v>8.8065593683571211E-3</v>
      </c>
      <c r="Z6" s="204">
        <f t="shared" ref="Z6:Z39" si="10">L6/$B6</f>
        <v>4.4032796841785606E-3</v>
      </c>
      <c r="AA6" s="204">
        <f t="shared" ref="AA6:AA39" si="11">M6/$B6</f>
        <v>4.4032796841785606E-3</v>
      </c>
      <c r="AD6" s="204">
        <v>0.65094339622641506</v>
      </c>
      <c r="AE6" s="204">
        <v>0.8735955056179775</v>
      </c>
      <c r="AF6" s="204">
        <v>0.78295941517519541</v>
      </c>
      <c r="AG6" s="204">
        <v>0.4179983179142136</v>
      </c>
      <c r="AH6" s="204">
        <v>0.58356940509915012</v>
      </c>
      <c r="AI6" s="204">
        <v>0.40229885057471265</v>
      </c>
      <c r="AJ6" s="204">
        <v>0.27167630057803466</v>
      </c>
      <c r="AK6" s="204">
        <v>0.2640449438202247</v>
      </c>
      <c r="AL6" s="204">
        <v>0.49696969696969695</v>
      </c>
      <c r="AM6" s="204" t="e">
        <v>#VALUE!</v>
      </c>
      <c r="AN6" s="204">
        <v>0.39175257731958762</v>
      </c>
    </row>
    <row r="7" spans="1:40" ht="12.45" customHeight="1">
      <c r="A7" s="8" t="s">
        <v>324</v>
      </c>
      <c r="B7" s="166">
        <v>12566000</v>
      </c>
      <c r="C7" s="9">
        <v>6284000</v>
      </c>
      <c r="D7" s="9">
        <v>6282000</v>
      </c>
      <c r="E7" s="119">
        <v>7464000</v>
      </c>
      <c r="F7" s="9">
        <v>3533000</v>
      </c>
      <c r="G7" s="9">
        <v>3931000</v>
      </c>
      <c r="H7" s="143">
        <v>3791000</v>
      </c>
      <c r="I7" s="9">
        <v>2102000</v>
      </c>
      <c r="J7" s="9">
        <v>1689000</v>
      </c>
      <c r="K7" s="137">
        <v>521000</v>
      </c>
      <c r="L7" s="9">
        <v>226000</v>
      </c>
      <c r="M7" s="9">
        <v>295000</v>
      </c>
      <c r="N7" s="104">
        <v>790000</v>
      </c>
      <c r="O7" s="9">
        <v>423000</v>
      </c>
      <c r="P7" s="9">
        <v>367000</v>
      </c>
      <c r="Q7" s="204">
        <f t="shared" si="1"/>
        <v>0.500079579818558</v>
      </c>
      <c r="R7" s="204">
        <f t="shared" si="2"/>
        <v>0.499920420181442</v>
      </c>
      <c r="S7" s="204">
        <f t="shared" si="3"/>
        <v>0.59398376571701417</v>
      </c>
      <c r="T7" s="204">
        <f t="shared" si="4"/>
        <v>0.28115549896546238</v>
      </c>
      <c r="U7" s="204">
        <f t="shared" si="5"/>
        <v>0.31282826675155179</v>
      </c>
      <c r="V7" s="204">
        <f t="shared" si="6"/>
        <v>0.30168709215342987</v>
      </c>
      <c r="W7" s="204">
        <f t="shared" si="7"/>
        <v>0.16727677860894477</v>
      </c>
      <c r="X7" s="204">
        <f t="shared" si="8"/>
        <v>0.13441031354448513</v>
      </c>
      <c r="Y7" s="204">
        <f t="shared" si="9"/>
        <v>4.146108546872513E-2</v>
      </c>
      <c r="Z7" s="204">
        <f t="shared" si="10"/>
        <v>1.7985038994111094E-2</v>
      </c>
      <c r="AA7" s="204">
        <f t="shared" si="11"/>
        <v>2.3476046474614039E-2</v>
      </c>
      <c r="AD7" s="204">
        <v>0.6417157275021026</v>
      </c>
      <c r="AE7" s="204">
        <v>0.84536082474226804</v>
      </c>
      <c r="AF7" s="204">
        <v>0.77620396600566577</v>
      </c>
      <c r="AG7" s="204">
        <v>0.39705435772851505</v>
      </c>
      <c r="AH7" s="204">
        <v>0.55599214145383102</v>
      </c>
      <c r="AI7" s="204">
        <v>0.3888888888888889</v>
      </c>
      <c r="AJ7" s="204">
        <v>0.24603174603174602</v>
      </c>
      <c r="AK7" s="204">
        <v>0.25343811394891946</v>
      </c>
      <c r="AL7" s="204">
        <v>0.48344370860927155</v>
      </c>
      <c r="AM7" s="204">
        <v>0.27358490566037735</v>
      </c>
      <c r="AN7" s="204">
        <v>0.31168831168831168</v>
      </c>
    </row>
    <row r="8" spans="1:40" ht="12.45" customHeight="1">
      <c r="A8" s="8" t="s">
        <v>325</v>
      </c>
      <c r="B8" s="166">
        <v>10750000</v>
      </c>
      <c r="C8" s="9">
        <v>5378000</v>
      </c>
      <c r="D8" s="9">
        <v>5373000</v>
      </c>
      <c r="E8" s="119">
        <v>5987000</v>
      </c>
      <c r="F8" s="9">
        <v>2821000</v>
      </c>
      <c r="G8" s="9">
        <v>3166000</v>
      </c>
      <c r="H8" s="143">
        <v>3534000</v>
      </c>
      <c r="I8" s="9">
        <v>1987000</v>
      </c>
      <c r="J8" s="9">
        <v>1547000</v>
      </c>
      <c r="K8" s="137">
        <v>508000</v>
      </c>
      <c r="L8" s="9">
        <v>216000</v>
      </c>
      <c r="M8" s="9">
        <v>291000</v>
      </c>
      <c r="N8" s="104">
        <v>722000</v>
      </c>
      <c r="O8" s="9">
        <v>353000</v>
      </c>
      <c r="P8" s="9">
        <v>369000</v>
      </c>
      <c r="Q8" s="204">
        <f t="shared" si="1"/>
        <v>0.50027906976744185</v>
      </c>
      <c r="R8" s="204">
        <f t="shared" si="2"/>
        <v>0.4998139534883721</v>
      </c>
      <c r="S8" s="204">
        <f t="shared" si="3"/>
        <v>0.55693023255813956</v>
      </c>
      <c r="T8" s="204">
        <f t="shared" si="4"/>
        <v>0.26241860465116279</v>
      </c>
      <c r="U8" s="204">
        <f t="shared" si="5"/>
        <v>0.29451162790697677</v>
      </c>
      <c r="V8" s="204">
        <f t="shared" si="6"/>
        <v>0.32874418604651162</v>
      </c>
      <c r="W8" s="204">
        <f t="shared" si="7"/>
        <v>0.18483720930232558</v>
      </c>
      <c r="X8" s="204">
        <f t="shared" si="8"/>
        <v>0.14390697674418604</v>
      </c>
      <c r="Y8" s="204">
        <f t="shared" si="9"/>
        <v>4.7255813953488372E-2</v>
      </c>
      <c r="Z8" s="204">
        <f t="shared" si="10"/>
        <v>2.0093023255813955E-2</v>
      </c>
      <c r="AA8" s="204">
        <f t="shared" si="11"/>
        <v>2.7069767441860466E-2</v>
      </c>
      <c r="AD8" s="204">
        <v>0.61849710982658956</v>
      </c>
      <c r="AE8" s="204">
        <v>0.84497816593886466</v>
      </c>
      <c r="AF8" s="204">
        <v>0.7564530822957789</v>
      </c>
      <c r="AG8" s="204">
        <v>0.36781609195402298</v>
      </c>
      <c r="AH8" s="204">
        <v>0.54366812227074235</v>
      </c>
      <c r="AI8" s="204">
        <v>0.34177215189873417</v>
      </c>
      <c r="AJ8" s="204">
        <v>0.23584905660377359</v>
      </c>
      <c r="AK8" s="204">
        <v>0.23962882096069868</v>
      </c>
      <c r="AL8" s="204">
        <v>0.47101449275362317</v>
      </c>
      <c r="AM8" s="204">
        <v>0.20289855072463769</v>
      </c>
      <c r="AN8" s="204">
        <v>0.30909090909090908</v>
      </c>
    </row>
    <row r="9" spans="1:40" ht="12.45" customHeight="1">
      <c r="A9" s="8" t="s">
        <v>326</v>
      </c>
      <c r="B9" s="166">
        <v>14251000</v>
      </c>
      <c r="C9" s="9">
        <v>6317000</v>
      </c>
      <c r="D9" s="9">
        <v>7933000</v>
      </c>
      <c r="E9" s="119">
        <v>8449000</v>
      </c>
      <c r="F9" s="9">
        <v>3683000</v>
      </c>
      <c r="G9" s="9">
        <v>4766000</v>
      </c>
      <c r="H9" s="143">
        <v>4045000</v>
      </c>
      <c r="I9" s="9">
        <v>2070000</v>
      </c>
      <c r="J9" s="9">
        <v>1975000</v>
      </c>
      <c r="K9" s="137">
        <v>791000</v>
      </c>
      <c r="L9" s="9">
        <v>287000</v>
      </c>
      <c r="M9" s="9">
        <v>504000</v>
      </c>
      <c r="N9" s="104">
        <v>965000</v>
      </c>
      <c r="O9" s="9">
        <v>277000</v>
      </c>
      <c r="P9" s="9">
        <v>688000</v>
      </c>
      <c r="Q9" s="204">
        <f t="shared" si="1"/>
        <v>0.44326713914812993</v>
      </c>
      <c r="R9" s="204">
        <f t="shared" si="2"/>
        <v>0.55666269033752014</v>
      </c>
      <c r="S9" s="204">
        <f t="shared" si="3"/>
        <v>0.59287067574205321</v>
      </c>
      <c r="T9" s="204">
        <f t="shared" si="4"/>
        <v>0.2584380043505719</v>
      </c>
      <c r="U9" s="204">
        <f t="shared" si="5"/>
        <v>0.33443267139148131</v>
      </c>
      <c r="V9" s="204">
        <f t="shared" si="6"/>
        <v>0.28383973054522488</v>
      </c>
      <c r="W9" s="204">
        <f t="shared" si="7"/>
        <v>0.14525296470423127</v>
      </c>
      <c r="X9" s="204">
        <f t="shared" si="8"/>
        <v>0.13858676584099361</v>
      </c>
      <c r="Y9" s="204">
        <f t="shared" si="9"/>
        <v>5.5504876850747314E-2</v>
      </c>
      <c r="Z9" s="204">
        <f t="shared" si="10"/>
        <v>2.0138937618412744E-2</v>
      </c>
      <c r="AA9" s="204">
        <f t="shared" si="11"/>
        <v>3.5365939232334574E-2</v>
      </c>
      <c r="AD9" s="204">
        <v>0.60700781446937235</v>
      </c>
      <c r="AE9" s="204">
        <v>0.82640144665461124</v>
      </c>
      <c r="AF9" s="204">
        <v>0.74895104895104891</v>
      </c>
      <c r="AG9" s="204">
        <v>0.33986928104575165</v>
      </c>
      <c r="AH9" s="204">
        <v>0.5337078651685393</v>
      </c>
      <c r="AI9" s="204">
        <v>0.34057971014492755</v>
      </c>
      <c r="AJ9" s="204">
        <v>0.20516021639617146</v>
      </c>
      <c r="AK9" s="204">
        <v>0.23678160919540231</v>
      </c>
      <c r="AL9" s="204">
        <v>0.45283018867924529</v>
      </c>
      <c r="AM9" s="204">
        <v>0.18787878787878787</v>
      </c>
      <c r="AN9" s="204">
        <v>0.29801324503311261</v>
      </c>
    </row>
    <row r="10" spans="1:40" ht="12.45" customHeight="1">
      <c r="A10" s="8" t="s">
        <v>174</v>
      </c>
      <c r="B10" s="166">
        <v>7230000</v>
      </c>
      <c r="C10" s="9">
        <v>1998000</v>
      </c>
      <c r="D10" s="9">
        <v>5232000</v>
      </c>
      <c r="E10" s="119">
        <v>4152000</v>
      </c>
      <c r="F10" s="9">
        <v>978000</v>
      </c>
      <c r="G10" s="9">
        <v>3174000</v>
      </c>
      <c r="H10" s="143">
        <v>2148000</v>
      </c>
      <c r="I10" s="9">
        <v>690000</v>
      </c>
      <c r="J10" s="9">
        <v>1458000</v>
      </c>
      <c r="K10" s="137">
        <v>865000</v>
      </c>
      <c r="L10" s="9">
        <v>296000</v>
      </c>
      <c r="M10" s="9">
        <v>569000</v>
      </c>
      <c r="N10" s="104">
        <v>66000</v>
      </c>
      <c r="O10" s="9">
        <v>34000</v>
      </c>
      <c r="P10" s="9">
        <v>32000</v>
      </c>
      <c r="Q10" s="204">
        <f t="shared" si="1"/>
        <v>0.27634854771784234</v>
      </c>
      <c r="R10" s="204">
        <f t="shared" si="2"/>
        <v>0.72365145228215766</v>
      </c>
      <c r="S10" s="204">
        <f t="shared" si="3"/>
        <v>0.57427385892116178</v>
      </c>
      <c r="T10" s="204">
        <f t="shared" si="4"/>
        <v>0.13526970954356846</v>
      </c>
      <c r="U10" s="204">
        <f t="shared" si="5"/>
        <v>0.43900414937759336</v>
      </c>
      <c r="V10" s="204">
        <f t="shared" si="6"/>
        <v>0.2970954356846473</v>
      </c>
      <c r="W10" s="204">
        <f t="shared" si="7"/>
        <v>9.5435684647302899E-2</v>
      </c>
      <c r="X10" s="204">
        <f t="shared" si="8"/>
        <v>0.2016597510373444</v>
      </c>
      <c r="Y10" s="204">
        <f t="shared" si="9"/>
        <v>0.11964038727524205</v>
      </c>
      <c r="Z10" s="204">
        <f t="shared" si="10"/>
        <v>4.0940525587828493E-2</v>
      </c>
      <c r="AA10" s="204">
        <f t="shared" si="11"/>
        <v>7.8699861687413553E-2</v>
      </c>
      <c r="AD10" s="204">
        <v>0.59722222222222221</v>
      </c>
      <c r="AE10" s="204">
        <v>0.78019323671497587</v>
      </c>
      <c r="AF10" s="204">
        <v>0.67703952901597986</v>
      </c>
      <c r="AG10" s="204">
        <v>0.33341826984329215</v>
      </c>
      <c r="AH10" s="204">
        <v>0.53076923076923077</v>
      </c>
      <c r="AI10" s="204">
        <v>0.33832709113607989</v>
      </c>
      <c r="AJ10" s="204">
        <v>0.18840579710144928</v>
      </c>
      <c r="AK10" s="204">
        <v>0.22809786898184689</v>
      </c>
      <c r="AL10" s="204">
        <v>0.4329896907216495</v>
      </c>
      <c r="AM10" s="204">
        <v>0.18543046357615894</v>
      </c>
      <c r="AN10" s="204">
        <v>0.26811594202898553</v>
      </c>
    </row>
    <row r="11" spans="1:40" ht="12.45" customHeight="1">
      <c r="A11" s="10" t="s">
        <v>323</v>
      </c>
      <c r="B11" s="166">
        <v>1430000</v>
      </c>
      <c r="C11" s="9">
        <v>444000</v>
      </c>
      <c r="D11" s="9">
        <v>986000</v>
      </c>
      <c r="E11" s="119">
        <v>1071000</v>
      </c>
      <c r="F11" s="9">
        <v>312000</v>
      </c>
      <c r="G11" s="9">
        <v>759000</v>
      </c>
      <c r="H11" s="143">
        <v>326000</v>
      </c>
      <c r="I11" s="9">
        <v>119000</v>
      </c>
      <c r="J11" s="9">
        <v>207000</v>
      </c>
      <c r="K11" s="137">
        <v>30000</v>
      </c>
      <c r="L11" s="9">
        <v>12000</v>
      </c>
      <c r="M11" s="9">
        <v>18000</v>
      </c>
      <c r="N11" s="104">
        <v>3000</v>
      </c>
      <c r="O11" s="13" t="s">
        <v>191</v>
      </c>
      <c r="P11" s="13" t="s">
        <v>220</v>
      </c>
      <c r="Q11" s="204">
        <f t="shared" si="1"/>
        <v>0.31048951048951051</v>
      </c>
      <c r="R11" s="204">
        <f t="shared" si="2"/>
        <v>0.68951048951048954</v>
      </c>
      <c r="S11" s="204">
        <f t="shared" si="3"/>
        <v>0.74895104895104891</v>
      </c>
      <c r="T11" s="204">
        <f t="shared" si="4"/>
        <v>0.21818181818181817</v>
      </c>
      <c r="U11" s="204">
        <f t="shared" si="5"/>
        <v>0.53076923076923077</v>
      </c>
      <c r="V11" s="204">
        <f t="shared" si="6"/>
        <v>0.22797202797202798</v>
      </c>
      <c r="W11" s="204">
        <f t="shared" si="7"/>
        <v>8.3216783216783219E-2</v>
      </c>
      <c r="X11" s="204">
        <f t="shared" si="8"/>
        <v>0.14475524475524476</v>
      </c>
      <c r="Y11" s="204">
        <f t="shared" si="9"/>
        <v>2.097902097902098E-2</v>
      </c>
      <c r="Z11" s="204">
        <f t="shared" si="10"/>
        <v>8.3916083916083916E-3</v>
      </c>
      <c r="AA11" s="204">
        <f t="shared" si="11"/>
        <v>1.2587412587412588E-2</v>
      </c>
      <c r="AD11" s="204">
        <v>0.57058326289095518</v>
      </c>
      <c r="AE11" s="204">
        <v>0.77348066298342544</v>
      </c>
      <c r="AF11" s="204">
        <v>0.67320261437908502</v>
      </c>
      <c r="AG11" s="204">
        <v>0.32261296117175625</v>
      </c>
      <c r="AH11" s="204">
        <v>0.49960536700868191</v>
      </c>
      <c r="AI11" s="204">
        <v>0.33707865168539325</v>
      </c>
      <c r="AJ11" s="204">
        <v>0.18483720930232558</v>
      </c>
      <c r="AK11" s="204">
        <v>0.22676200204290092</v>
      </c>
      <c r="AL11" s="204">
        <v>0.42738589211618255</v>
      </c>
      <c r="AM11" s="204">
        <v>0.18257261410788381</v>
      </c>
      <c r="AN11" s="204">
        <v>0.24930747922437674</v>
      </c>
    </row>
    <row r="12" spans="1:40" ht="12.45" customHeight="1">
      <c r="A12" s="10" t="s">
        <v>324</v>
      </c>
      <c r="B12" s="166">
        <v>2351000</v>
      </c>
      <c r="C12" s="9">
        <v>649000</v>
      </c>
      <c r="D12" s="9">
        <v>1702000</v>
      </c>
      <c r="E12" s="119">
        <v>1262000</v>
      </c>
      <c r="F12" s="9">
        <v>274000</v>
      </c>
      <c r="G12" s="9">
        <v>989000</v>
      </c>
      <c r="H12" s="143">
        <v>757000</v>
      </c>
      <c r="I12" s="9">
        <v>247000</v>
      </c>
      <c r="J12" s="9">
        <v>509000</v>
      </c>
      <c r="K12" s="137">
        <v>311000</v>
      </c>
      <c r="L12" s="9">
        <v>117000</v>
      </c>
      <c r="M12" s="9">
        <v>194000</v>
      </c>
      <c r="N12" s="104">
        <v>21000</v>
      </c>
      <c r="O12" s="9">
        <v>11000</v>
      </c>
      <c r="P12" s="9">
        <v>10000</v>
      </c>
      <c r="Q12" s="204">
        <f t="shared" si="1"/>
        <v>0.27605274351339854</v>
      </c>
      <c r="R12" s="204">
        <f t="shared" si="2"/>
        <v>0.72394725648660141</v>
      </c>
      <c r="S12" s="204">
        <f t="shared" si="3"/>
        <v>0.53679285410463629</v>
      </c>
      <c r="T12" s="204">
        <f t="shared" si="4"/>
        <v>0.11654615057422374</v>
      </c>
      <c r="U12" s="204">
        <f t="shared" si="5"/>
        <v>0.42067205444491707</v>
      </c>
      <c r="V12" s="204">
        <f t="shared" si="6"/>
        <v>0.32199064227988089</v>
      </c>
      <c r="W12" s="204">
        <f t="shared" si="7"/>
        <v>0.10506167588260315</v>
      </c>
      <c r="X12" s="204">
        <f t="shared" si="8"/>
        <v>0.21650361548277328</v>
      </c>
      <c r="Y12" s="204">
        <f t="shared" si="9"/>
        <v>0.13228413441088899</v>
      </c>
      <c r="Z12" s="204">
        <f t="shared" si="10"/>
        <v>4.9766056997022544E-2</v>
      </c>
      <c r="AA12" s="204">
        <f t="shared" si="11"/>
        <v>8.2518077413866436E-2</v>
      </c>
      <c r="AD12" s="204">
        <v>0.54921630094043883</v>
      </c>
      <c r="AE12" s="204">
        <v>0.75132275132275128</v>
      </c>
      <c r="AF12" s="204">
        <v>0.65217391304347827</v>
      </c>
      <c r="AG12" s="204">
        <v>0.29421556387848524</v>
      </c>
      <c r="AH12" s="204">
        <v>0.49424385138670851</v>
      </c>
      <c r="AI12" s="204">
        <v>0.33103448275862069</v>
      </c>
      <c r="AJ12" s="204">
        <v>0.18269843292139126</v>
      </c>
      <c r="AK12" s="204">
        <v>0.21746031746031746</v>
      </c>
      <c r="AL12" s="204">
        <v>0.38961038961038963</v>
      </c>
      <c r="AM12" s="204">
        <v>0.1791907514450867</v>
      </c>
      <c r="AN12" s="204">
        <v>0.24481327800829875</v>
      </c>
    </row>
    <row r="13" spans="1:40" ht="12.45" customHeight="1">
      <c r="A13" s="10" t="s">
        <v>325</v>
      </c>
      <c r="B13" s="166">
        <v>1560000</v>
      </c>
      <c r="C13" s="9">
        <v>435000</v>
      </c>
      <c r="D13" s="9">
        <v>1125000</v>
      </c>
      <c r="E13" s="119">
        <v>833000</v>
      </c>
      <c r="F13" s="9">
        <v>188000</v>
      </c>
      <c r="G13" s="9">
        <v>645000</v>
      </c>
      <c r="H13" s="143">
        <v>478000</v>
      </c>
      <c r="I13" s="9">
        <v>148000</v>
      </c>
      <c r="J13" s="9">
        <v>330000</v>
      </c>
      <c r="K13" s="137">
        <v>231000</v>
      </c>
      <c r="L13" s="9">
        <v>86000</v>
      </c>
      <c r="M13" s="9">
        <v>144000</v>
      </c>
      <c r="N13" s="104">
        <v>18000</v>
      </c>
      <c r="O13" s="9">
        <v>13000</v>
      </c>
      <c r="P13" s="9">
        <v>5000</v>
      </c>
      <c r="Q13" s="204">
        <f t="shared" si="1"/>
        <v>0.27884615384615385</v>
      </c>
      <c r="R13" s="204">
        <f t="shared" si="2"/>
        <v>0.72115384615384615</v>
      </c>
      <c r="S13" s="204">
        <f t="shared" si="3"/>
        <v>0.53397435897435896</v>
      </c>
      <c r="T13" s="204">
        <f t="shared" si="4"/>
        <v>0.12051282051282051</v>
      </c>
      <c r="U13" s="204">
        <f t="shared" si="5"/>
        <v>0.41346153846153844</v>
      </c>
      <c r="V13" s="204">
        <f t="shared" si="6"/>
        <v>0.30641025641025643</v>
      </c>
      <c r="W13" s="204">
        <f t="shared" si="7"/>
        <v>9.4871794871794868E-2</v>
      </c>
      <c r="X13" s="204">
        <f t="shared" si="8"/>
        <v>0.21153846153846154</v>
      </c>
      <c r="Y13" s="204">
        <f t="shared" si="9"/>
        <v>0.14807692307692308</v>
      </c>
      <c r="Z13" s="204">
        <f t="shared" si="10"/>
        <v>5.5128205128205127E-2</v>
      </c>
      <c r="AA13" s="204">
        <f t="shared" si="11"/>
        <v>9.2307692307692313E-2</v>
      </c>
      <c r="AD13" s="204">
        <v>0.54889158821743089</v>
      </c>
      <c r="AE13" s="204">
        <v>0.7456828885400314</v>
      </c>
      <c r="AF13" s="204">
        <v>0.64530513441202697</v>
      </c>
      <c r="AG13" s="204">
        <v>0.2927899686520376</v>
      </c>
      <c r="AH13" s="204">
        <v>0.49005424954792043</v>
      </c>
      <c r="AI13" s="204">
        <v>0.330188679245283</v>
      </c>
      <c r="AJ13" s="204">
        <v>0.18213925327951563</v>
      </c>
      <c r="AK13" s="204">
        <v>0.21650361548277328</v>
      </c>
      <c r="AL13" s="204">
        <v>0.37834036568213786</v>
      </c>
      <c r="AM13" s="204">
        <v>0.17857142857142858</v>
      </c>
      <c r="AN13" s="204">
        <v>0.22362869198312235</v>
      </c>
    </row>
    <row r="14" spans="1:40" ht="12.45" customHeight="1">
      <c r="A14" s="10" t="s">
        <v>326</v>
      </c>
      <c r="B14" s="166">
        <v>1890000</v>
      </c>
      <c r="C14" s="9">
        <v>470000</v>
      </c>
      <c r="D14" s="9">
        <v>1420000</v>
      </c>
      <c r="E14" s="119">
        <v>986000</v>
      </c>
      <c r="F14" s="9">
        <v>204000</v>
      </c>
      <c r="G14" s="9">
        <v>781000</v>
      </c>
      <c r="H14" s="143">
        <v>587000</v>
      </c>
      <c r="I14" s="9">
        <v>176000</v>
      </c>
      <c r="J14" s="9">
        <v>411000</v>
      </c>
      <c r="K14" s="137">
        <v>292000</v>
      </c>
      <c r="L14" s="9">
        <v>80000</v>
      </c>
      <c r="M14" s="9">
        <v>212000</v>
      </c>
      <c r="N14" s="104">
        <v>24000</v>
      </c>
      <c r="O14" s="9">
        <v>9000</v>
      </c>
      <c r="P14" s="9">
        <v>15000</v>
      </c>
      <c r="Q14" s="204">
        <f t="shared" si="1"/>
        <v>0.24867724867724866</v>
      </c>
      <c r="R14" s="204">
        <f t="shared" si="2"/>
        <v>0.75132275132275128</v>
      </c>
      <c r="S14" s="204">
        <f t="shared" si="3"/>
        <v>0.52169312169312165</v>
      </c>
      <c r="T14" s="204">
        <f t="shared" si="4"/>
        <v>0.10793650793650794</v>
      </c>
      <c r="U14" s="204">
        <f t="shared" si="5"/>
        <v>0.41322751322751322</v>
      </c>
      <c r="V14" s="204">
        <f t="shared" si="6"/>
        <v>0.31058201058201057</v>
      </c>
      <c r="W14" s="204">
        <f t="shared" si="7"/>
        <v>9.3121693121693119E-2</v>
      </c>
      <c r="X14" s="204">
        <f t="shared" si="8"/>
        <v>0.21746031746031746</v>
      </c>
      <c r="Y14" s="204">
        <f t="shared" si="9"/>
        <v>0.15449735449735449</v>
      </c>
      <c r="Z14" s="204">
        <f t="shared" si="10"/>
        <v>4.2328042328042326E-2</v>
      </c>
      <c r="AA14" s="204">
        <f t="shared" si="11"/>
        <v>0.11216931216931217</v>
      </c>
      <c r="AD14" s="204">
        <v>0.54580201299528608</v>
      </c>
      <c r="AE14" s="204">
        <v>0.74022988505747123</v>
      </c>
      <c r="AF14" s="204">
        <v>0.64291142738703888</v>
      </c>
      <c r="AG14" s="204">
        <v>0.28654904536498088</v>
      </c>
      <c r="AH14" s="204">
        <v>0.46666666666666667</v>
      </c>
      <c r="AI14" s="204">
        <v>0.32874418604651162</v>
      </c>
      <c r="AJ14" s="204">
        <v>0.17793744716821641</v>
      </c>
      <c r="AK14" s="204">
        <v>0.21428571428571427</v>
      </c>
      <c r="AL14" s="204">
        <v>0.33730158730158732</v>
      </c>
      <c r="AM14" s="204">
        <v>0.15471167369901548</v>
      </c>
      <c r="AN14" s="204">
        <v>0.20512820512820512</v>
      </c>
    </row>
    <row r="15" spans="1:40" ht="12.45" customHeight="1">
      <c r="A15" s="10" t="s">
        <v>227</v>
      </c>
      <c r="B15" s="166">
        <v>711000</v>
      </c>
      <c r="C15" s="9">
        <v>326000</v>
      </c>
      <c r="D15" s="9">
        <v>385000</v>
      </c>
      <c r="E15" s="119">
        <v>260000</v>
      </c>
      <c r="F15" s="9">
        <v>121000</v>
      </c>
      <c r="G15" s="9">
        <v>138000</v>
      </c>
      <c r="H15" s="143">
        <v>164000</v>
      </c>
      <c r="I15" s="9">
        <v>86000</v>
      </c>
      <c r="J15" s="9">
        <v>78000</v>
      </c>
      <c r="K15" s="137">
        <v>269000</v>
      </c>
      <c r="L15" s="9">
        <v>110000</v>
      </c>
      <c r="M15" s="9">
        <v>159000</v>
      </c>
      <c r="N15" s="104">
        <v>18000</v>
      </c>
      <c r="O15" s="9">
        <v>8000</v>
      </c>
      <c r="P15" s="9">
        <v>10000</v>
      </c>
      <c r="Q15" s="204">
        <f t="shared" si="1"/>
        <v>0.45850914205344584</v>
      </c>
      <c r="R15" s="204">
        <f t="shared" si="2"/>
        <v>0.54149085794655416</v>
      </c>
      <c r="S15" s="204">
        <f t="shared" si="3"/>
        <v>0.36568213783403658</v>
      </c>
      <c r="T15" s="204">
        <f t="shared" si="4"/>
        <v>0.17018284106891701</v>
      </c>
      <c r="U15" s="204">
        <f t="shared" si="5"/>
        <v>0.1940928270042194</v>
      </c>
      <c r="V15" s="204">
        <f t="shared" si="6"/>
        <v>0.23066104078762306</v>
      </c>
      <c r="W15" s="204">
        <f t="shared" si="7"/>
        <v>0.1209563994374121</v>
      </c>
      <c r="X15" s="204">
        <f t="shared" si="8"/>
        <v>0.10970464135021098</v>
      </c>
      <c r="Y15" s="204">
        <f t="shared" si="9"/>
        <v>0.37834036568213786</v>
      </c>
      <c r="Z15" s="204">
        <f t="shared" si="10"/>
        <v>0.15471167369901548</v>
      </c>
      <c r="AA15" s="204">
        <f t="shared" si="11"/>
        <v>0.22362869198312235</v>
      </c>
      <c r="AD15" s="204">
        <v>0.5393258426966292</v>
      </c>
      <c r="AE15" s="204">
        <v>0.73371104815864019</v>
      </c>
      <c r="AF15" s="204">
        <v>0.64233385661957088</v>
      </c>
      <c r="AG15" s="204">
        <v>0.28166885014612514</v>
      </c>
      <c r="AH15" s="204">
        <v>0.44637385086823289</v>
      </c>
      <c r="AI15" s="204">
        <v>0.32199064227988089</v>
      </c>
      <c r="AJ15" s="204">
        <v>0.17120353737736632</v>
      </c>
      <c r="AK15" s="204">
        <v>0.21153846153846154</v>
      </c>
      <c r="AL15" s="204">
        <v>0.33333333333333331</v>
      </c>
      <c r="AM15" s="204">
        <v>0.12820512820512819</v>
      </c>
      <c r="AN15" s="204">
        <v>0.17924528301886791</v>
      </c>
    </row>
    <row r="16" spans="1:40" ht="12.45" customHeight="1">
      <c r="A16" s="12" t="s">
        <v>323</v>
      </c>
      <c r="B16" s="166">
        <v>153000</v>
      </c>
      <c r="C16" s="9">
        <v>77000</v>
      </c>
      <c r="D16" s="9">
        <v>76000</v>
      </c>
      <c r="E16" s="119">
        <v>103000</v>
      </c>
      <c r="F16" s="9">
        <v>52000</v>
      </c>
      <c r="G16" s="9">
        <v>51000</v>
      </c>
      <c r="H16" s="143">
        <v>37000</v>
      </c>
      <c r="I16" s="9">
        <v>17000</v>
      </c>
      <c r="J16" s="9">
        <v>20000</v>
      </c>
      <c r="K16" s="137">
        <v>11000</v>
      </c>
      <c r="L16" s="9">
        <v>7000</v>
      </c>
      <c r="M16" s="9">
        <v>4000</v>
      </c>
      <c r="N16" s="152" t="s">
        <v>191</v>
      </c>
      <c r="O16" s="13" t="s">
        <v>220</v>
      </c>
      <c r="P16" s="13" t="s">
        <v>220</v>
      </c>
      <c r="Q16" s="204">
        <f t="shared" si="1"/>
        <v>0.50326797385620914</v>
      </c>
      <c r="R16" s="204">
        <f t="shared" si="2"/>
        <v>0.49673202614379086</v>
      </c>
      <c r="S16" s="204">
        <f t="shared" si="3"/>
        <v>0.67320261437908502</v>
      </c>
      <c r="T16" s="204">
        <f t="shared" si="4"/>
        <v>0.33986928104575165</v>
      </c>
      <c r="U16" s="204">
        <f t="shared" si="5"/>
        <v>0.33333333333333331</v>
      </c>
      <c r="V16" s="204">
        <f t="shared" si="6"/>
        <v>0.24183006535947713</v>
      </c>
      <c r="W16" s="204">
        <f t="shared" si="7"/>
        <v>0.1111111111111111</v>
      </c>
      <c r="X16" s="204">
        <f t="shared" si="8"/>
        <v>0.13071895424836602</v>
      </c>
      <c r="Y16" s="204">
        <f t="shared" si="9"/>
        <v>7.1895424836601302E-2</v>
      </c>
      <c r="Z16" s="204">
        <f t="shared" si="10"/>
        <v>4.5751633986928102E-2</v>
      </c>
      <c r="AA16" s="204">
        <f t="shared" si="11"/>
        <v>2.6143790849673203E-2</v>
      </c>
      <c r="AD16" s="204">
        <v>0.53229061553985868</v>
      </c>
      <c r="AE16" s="204">
        <v>0.72394725648660141</v>
      </c>
      <c r="AF16" s="204">
        <v>0.63482532751091703</v>
      </c>
      <c r="AG16" s="204">
        <v>0.28115549896546238</v>
      </c>
      <c r="AH16" s="204">
        <v>0.43900414937759336</v>
      </c>
      <c r="AI16" s="204">
        <v>0.31728492501973166</v>
      </c>
      <c r="AJ16" s="204">
        <v>0.16727677860894477</v>
      </c>
      <c r="AK16" s="204">
        <v>0.2016597510373444</v>
      </c>
      <c r="AL16" s="204">
        <v>0.32686980609418281</v>
      </c>
      <c r="AM16" s="204">
        <v>9.0909090909090912E-2</v>
      </c>
      <c r="AN16" s="204">
        <v>0.15873015873015872</v>
      </c>
    </row>
    <row r="17" spans="1:40" ht="12.45" customHeight="1">
      <c r="A17" s="12" t="s">
        <v>324</v>
      </c>
      <c r="B17" s="166">
        <v>241000</v>
      </c>
      <c r="C17" s="9">
        <v>111000</v>
      </c>
      <c r="D17" s="9">
        <v>130000</v>
      </c>
      <c r="E17" s="119">
        <v>76000</v>
      </c>
      <c r="F17" s="9">
        <v>32000</v>
      </c>
      <c r="G17" s="9">
        <v>44000</v>
      </c>
      <c r="H17" s="143">
        <v>61000</v>
      </c>
      <c r="I17" s="9">
        <v>34000</v>
      </c>
      <c r="J17" s="9">
        <v>27000</v>
      </c>
      <c r="K17" s="137">
        <v>103000</v>
      </c>
      <c r="L17" s="9">
        <v>44000</v>
      </c>
      <c r="M17" s="9">
        <v>59000</v>
      </c>
      <c r="N17" s="104">
        <v>2000</v>
      </c>
      <c r="O17" s="13" t="s">
        <v>191</v>
      </c>
      <c r="P17" s="9">
        <v>1000</v>
      </c>
      <c r="Q17" s="204">
        <f t="shared" si="1"/>
        <v>0.46058091286307051</v>
      </c>
      <c r="R17" s="204">
        <f t="shared" si="2"/>
        <v>0.53941908713692943</v>
      </c>
      <c r="S17" s="204">
        <f t="shared" si="3"/>
        <v>0.31535269709543567</v>
      </c>
      <c r="T17" s="204">
        <f t="shared" si="4"/>
        <v>0.13278008298755187</v>
      </c>
      <c r="U17" s="204">
        <f t="shared" si="5"/>
        <v>0.18257261410788381</v>
      </c>
      <c r="V17" s="204">
        <f t="shared" si="6"/>
        <v>0.25311203319502074</v>
      </c>
      <c r="W17" s="204">
        <f t="shared" si="7"/>
        <v>0.14107883817427386</v>
      </c>
      <c r="X17" s="204">
        <f t="shared" si="8"/>
        <v>0.11203319502074689</v>
      </c>
      <c r="Y17" s="204">
        <f t="shared" si="9"/>
        <v>0.42738589211618255</v>
      </c>
      <c r="Z17" s="204">
        <f t="shared" si="10"/>
        <v>0.18257261410788381</v>
      </c>
      <c r="AA17" s="204">
        <f t="shared" si="11"/>
        <v>0.24481327800829875</v>
      </c>
      <c r="AD17" s="204">
        <v>0.5256321680254249</v>
      </c>
      <c r="AE17" s="204">
        <v>0.72365145228215766</v>
      </c>
      <c r="AF17" s="204">
        <v>0.62702811649702705</v>
      </c>
      <c r="AG17" s="204">
        <v>0.28055783429040199</v>
      </c>
      <c r="AH17" s="204">
        <v>0.42067205444491707</v>
      </c>
      <c r="AI17" s="204">
        <v>0.31130171543895058</v>
      </c>
      <c r="AJ17" s="204">
        <v>0.16639498432601882</v>
      </c>
      <c r="AK17" s="204">
        <v>0.1791907514450867</v>
      </c>
      <c r="AL17" s="204">
        <v>0.30635838150289019</v>
      </c>
      <c r="AM17" s="204">
        <v>7.7562326869806089E-2</v>
      </c>
      <c r="AN17" s="204">
        <v>0.12716763005780346</v>
      </c>
    </row>
    <row r="18" spans="1:40" ht="12.45" customHeight="1">
      <c r="A18" s="12" t="s">
        <v>325</v>
      </c>
      <c r="B18" s="166">
        <v>151000</v>
      </c>
      <c r="C18" s="9">
        <v>72000</v>
      </c>
      <c r="D18" s="9">
        <v>79000</v>
      </c>
      <c r="E18" s="119">
        <v>43000</v>
      </c>
      <c r="F18" s="9">
        <v>21000</v>
      </c>
      <c r="G18" s="9">
        <v>22000</v>
      </c>
      <c r="H18" s="143">
        <v>27000</v>
      </c>
      <c r="I18" s="9">
        <v>18000</v>
      </c>
      <c r="J18" s="9">
        <v>9000</v>
      </c>
      <c r="K18" s="137">
        <v>73000</v>
      </c>
      <c r="L18" s="9">
        <v>28000</v>
      </c>
      <c r="M18" s="9">
        <v>45000</v>
      </c>
      <c r="N18" s="104">
        <v>9000</v>
      </c>
      <c r="O18" s="9">
        <v>5000</v>
      </c>
      <c r="P18" s="9">
        <v>3000</v>
      </c>
      <c r="Q18" s="204">
        <f t="shared" si="1"/>
        <v>0.47682119205298013</v>
      </c>
      <c r="R18" s="204">
        <f t="shared" si="2"/>
        <v>0.52317880794701987</v>
      </c>
      <c r="S18" s="204">
        <f t="shared" si="3"/>
        <v>0.28476821192052981</v>
      </c>
      <c r="T18" s="204">
        <f t="shared" si="4"/>
        <v>0.13907284768211919</v>
      </c>
      <c r="U18" s="204">
        <f t="shared" si="5"/>
        <v>0.14569536423841059</v>
      </c>
      <c r="V18" s="204">
        <f t="shared" si="6"/>
        <v>0.17880794701986755</v>
      </c>
      <c r="W18" s="204">
        <f t="shared" si="7"/>
        <v>0.11920529801324503</v>
      </c>
      <c r="X18" s="204">
        <f t="shared" si="8"/>
        <v>5.9602649006622516E-2</v>
      </c>
      <c r="Y18" s="204">
        <f t="shared" si="9"/>
        <v>0.48344370860927155</v>
      </c>
      <c r="Z18" s="204">
        <f t="shared" si="10"/>
        <v>0.18543046357615894</v>
      </c>
      <c r="AA18" s="204">
        <f t="shared" si="11"/>
        <v>0.29801324503311261</v>
      </c>
      <c r="AD18" s="204">
        <v>0.50326797385620914</v>
      </c>
      <c r="AE18" s="204">
        <v>0.72216547497446371</v>
      </c>
      <c r="AF18" s="204">
        <v>0.62430939226519333</v>
      </c>
      <c r="AG18" s="204">
        <v>0.27536231884057971</v>
      </c>
      <c r="AH18" s="204">
        <v>0.41346153846153844</v>
      </c>
      <c r="AI18" s="204">
        <v>0.31058201058201057</v>
      </c>
      <c r="AJ18" s="204">
        <v>0.15795076212261908</v>
      </c>
      <c r="AK18" s="204">
        <v>0.16494845360824742</v>
      </c>
      <c r="AL18" s="204">
        <v>0.15449735449735449</v>
      </c>
      <c r="AM18" s="204">
        <v>5.5128205128205127E-2</v>
      </c>
      <c r="AN18" s="204">
        <v>0.11216931216931217</v>
      </c>
    </row>
    <row r="19" spans="1:40" ht="12.45" customHeight="1">
      <c r="A19" s="12" t="s">
        <v>326</v>
      </c>
      <c r="B19" s="166">
        <v>165000</v>
      </c>
      <c r="C19" s="9">
        <v>65000</v>
      </c>
      <c r="D19" s="9">
        <v>100000</v>
      </c>
      <c r="E19" s="119">
        <v>38000</v>
      </c>
      <c r="F19" s="9">
        <v>16000</v>
      </c>
      <c r="G19" s="9">
        <v>22000</v>
      </c>
      <c r="H19" s="143">
        <v>39000</v>
      </c>
      <c r="I19" s="9">
        <v>17000</v>
      </c>
      <c r="J19" s="9">
        <v>23000</v>
      </c>
      <c r="K19" s="137">
        <v>82000</v>
      </c>
      <c r="L19" s="9">
        <v>31000</v>
      </c>
      <c r="M19" s="9">
        <v>51000</v>
      </c>
      <c r="N19" s="104">
        <v>6000</v>
      </c>
      <c r="O19" s="9">
        <v>2000</v>
      </c>
      <c r="P19" s="9">
        <v>4000</v>
      </c>
      <c r="Q19" s="204">
        <f t="shared" si="1"/>
        <v>0.39393939393939392</v>
      </c>
      <c r="R19" s="204">
        <f t="shared" si="2"/>
        <v>0.60606060606060608</v>
      </c>
      <c r="S19" s="204">
        <f t="shared" si="3"/>
        <v>0.23030303030303031</v>
      </c>
      <c r="T19" s="204">
        <f t="shared" si="4"/>
        <v>9.696969696969697E-2</v>
      </c>
      <c r="U19" s="204">
        <f t="shared" si="5"/>
        <v>0.13333333333333333</v>
      </c>
      <c r="V19" s="204">
        <f t="shared" si="6"/>
        <v>0.23636363636363636</v>
      </c>
      <c r="W19" s="204">
        <f t="shared" si="7"/>
        <v>0.10303030303030303</v>
      </c>
      <c r="X19" s="204">
        <f t="shared" si="8"/>
        <v>0.1393939393939394</v>
      </c>
      <c r="Y19" s="204">
        <f t="shared" si="9"/>
        <v>0.49696969696969695</v>
      </c>
      <c r="Z19" s="204">
        <f t="shared" si="10"/>
        <v>0.18787878787878787</v>
      </c>
      <c r="AA19" s="204">
        <f t="shared" si="11"/>
        <v>0.30909090909090908</v>
      </c>
      <c r="AD19" s="204">
        <v>0.50027906976744185</v>
      </c>
      <c r="AE19" s="204">
        <v>0.72115384615384615</v>
      </c>
      <c r="AF19" s="204">
        <v>0.60883745158879354</v>
      </c>
      <c r="AG19" s="204">
        <v>0.27134404057480982</v>
      </c>
      <c r="AH19" s="204">
        <v>0.41322751322751322</v>
      </c>
      <c r="AI19" s="204">
        <v>0.30690737833594978</v>
      </c>
      <c r="AJ19" s="204">
        <v>0.15504511894995898</v>
      </c>
      <c r="AK19" s="204">
        <v>0.16183574879227053</v>
      </c>
      <c r="AL19" s="204">
        <v>0.14807692307692308</v>
      </c>
      <c r="AM19" s="204">
        <v>5.1546391752577317E-2</v>
      </c>
      <c r="AN19" s="204">
        <v>9.2307692307692313E-2</v>
      </c>
    </row>
    <row r="20" spans="1:40" ht="12.45" customHeight="1">
      <c r="A20" s="10" t="s">
        <v>228</v>
      </c>
      <c r="B20" s="166">
        <v>3822000</v>
      </c>
      <c r="C20" s="9">
        <v>972000</v>
      </c>
      <c r="D20" s="9">
        <v>2850000</v>
      </c>
      <c r="E20" s="119">
        <v>2455000</v>
      </c>
      <c r="F20" s="9">
        <v>566000</v>
      </c>
      <c r="G20" s="9">
        <v>1889000</v>
      </c>
      <c r="H20" s="143">
        <v>1173000</v>
      </c>
      <c r="I20" s="9">
        <v>354000</v>
      </c>
      <c r="J20" s="9">
        <v>819000</v>
      </c>
      <c r="K20" s="137">
        <v>173000</v>
      </c>
      <c r="L20" s="9">
        <v>45000</v>
      </c>
      <c r="M20" s="9">
        <v>128000</v>
      </c>
      <c r="N20" s="104">
        <v>21000</v>
      </c>
      <c r="O20" s="13" t="s">
        <v>191</v>
      </c>
      <c r="P20" s="9">
        <v>15000</v>
      </c>
      <c r="Q20" s="204">
        <f t="shared" si="1"/>
        <v>0.2543171114599686</v>
      </c>
      <c r="R20" s="204">
        <f t="shared" si="2"/>
        <v>0.7456828885400314</v>
      </c>
      <c r="S20" s="204">
        <f t="shared" si="3"/>
        <v>0.64233385661957088</v>
      </c>
      <c r="T20" s="204">
        <f t="shared" si="4"/>
        <v>0.14809000523286237</v>
      </c>
      <c r="U20" s="204">
        <f t="shared" si="5"/>
        <v>0.49424385138670851</v>
      </c>
      <c r="V20" s="204">
        <f t="shared" si="6"/>
        <v>0.30690737833594978</v>
      </c>
      <c r="W20" s="204">
        <f t="shared" si="7"/>
        <v>9.2621664050235475E-2</v>
      </c>
      <c r="X20" s="204">
        <f t="shared" si="8"/>
        <v>0.21428571428571427</v>
      </c>
      <c r="Y20" s="204">
        <f t="shared" si="9"/>
        <v>4.5264259549973838E-2</v>
      </c>
      <c r="Z20" s="204">
        <f t="shared" si="10"/>
        <v>1.1773940345368918E-2</v>
      </c>
      <c r="AA20" s="204">
        <f t="shared" si="11"/>
        <v>3.3490319204604921E-2</v>
      </c>
      <c r="AD20" s="204">
        <v>0.500079579818558</v>
      </c>
      <c r="AE20" s="204">
        <v>0.68951048951048954</v>
      </c>
      <c r="AF20" s="204">
        <v>0.60804597701149421</v>
      </c>
      <c r="AG20" s="204">
        <v>0.26241860465116279</v>
      </c>
      <c r="AH20" s="204">
        <v>0.37681159420289856</v>
      </c>
      <c r="AI20" s="204">
        <v>0.30641025641025643</v>
      </c>
      <c r="AJ20" s="204">
        <v>0.15277637811145822</v>
      </c>
      <c r="AK20" s="204">
        <v>0.15942028985507245</v>
      </c>
      <c r="AL20" s="204">
        <v>0.13228413441088899</v>
      </c>
      <c r="AM20" s="204">
        <v>4.9766056997022544E-2</v>
      </c>
      <c r="AN20" s="204">
        <v>9.0373280943025547E-2</v>
      </c>
    </row>
    <row r="21" spans="1:40" ht="12.45" customHeight="1">
      <c r="A21" s="12" t="s">
        <v>323</v>
      </c>
      <c r="B21" s="166">
        <v>706000</v>
      </c>
      <c r="C21" s="9">
        <v>187000</v>
      </c>
      <c r="D21" s="9">
        <v>518000</v>
      </c>
      <c r="E21" s="119">
        <v>548000</v>
      </c>
      <c r="F21" s="9">
        <v>136000</v>
      </c>
      <c r="G21" s="9">
        <v>412000</v>
      </c>
      <c r="H21" s="143">
        <v>152000</v>
      </c>
      <c r="I21" s="9">
        <v>51000</v>
      </c>
      <c r="J21" s="9">
        <v>101000</v>
      </c>
      <c r="K21" s="137">
        <v>6000</v>
      </c>
      <c r="L21" s="13" t="s">
        <v>191</v>
      </c>
      <c r="M21" s="9">
        <v>5000</v>
      </c>
      <c r="N21" s="152" t="s">
        <v>220</v>
      </c>
      <c r="O21" s="13" t="s">
        <v>220</v>
      </c>
      <c r="P21" s="13" t="s">
        <v>220</v>
      </c>
      <c r="Q21" s="204">
        <f t="shared" si="1"/>
        <v>0.26487252124645894</v>
      </c>
      <c r="R21" s="204">
        <f t="shared" si="2"/>
        <v>0.73371104815864019</v>
      </c>
      <c r="S21" s="204">
        <f t="shared" si="3"/>
        <v>0.77620396600566577</v>
      </c>
      <c r="T21" s="204">
        <f t="shared" si="4"/>
        <v>0.19263456090651557</v>
      </c>
      <c r="U21" s="204">
        <f t="shared" si="5"/>
        <v>0.58356940509915012</v>
      </c>
      <c r="V21" s="204">
        <f t="shared" si="6"/>
        <v>0.21529745042492918</v>
      </c>
      <c r="W21" s="204">
        <f t="shared" si="7"/>
        <v>7.2237960339943341E-2</v>
      </c>
      <c r="X21" s="204">
        <f t="shared" si="8"/>
        <v>0.14305949008498584</v>
      </c>
      <c r="Y21" s="204">
        <f t="shared" si="9"/>
        <v>8.4985835694051E-3</v>
      </c>
      <c r="Z21" s="204" t="e">
        <f t="shared" si="10"/>
        <v>#VALUE!</v>
      </c>
      <c r="AA21" s="204">
        <f t="shared" si="11"/>
        <v>7.0821529745042494E-3</v>
      </c>
      <c r="AD21" s="204">
        <v>0.49671862182116489</v>
      </c>
      <c r="AE21" s="204">
        <v>0.68831168831168832</v>
      </c>
      <c r="AF21" s="204">
        <v>0.60510805500982323</v>
      </c>
      <c r="AG21" s="204">
        <v>0.2584380043505719</v>
      </c>
      <c r="AH21" s="204">
        <v>0.35939872456726391</v>
      </c>
      <c r="AI21" s="204">
        <v>0.3061797752808989</v>
      </c>
      <c r="AJ21" s="204">
        <v>0.14525296470423127</v>
      </c>
      <c r="AK21" s="204">
        <v>0.15217391304347827</v>
      </c>
      <c r="AL21" s="204">
        <v>0.11964038727524205</v>
      </c>
      <c r="AM21" s="204">
        <v>4.5751633986928102E-2</v>
      </c>
      <c r="AN21" s="204">
        <v>8.2518077413866436E-2</v>
      </c>
    </row>
    <row r="22" spans="1:40" ht="12.45" customHeight="1">
      <c r="A22" s="12" t="s">
        <v>324</v>
      </c>
      <c r="B22" s="166">
        <v>1267000</v>
      </c>
      <c r="C22" s="9">
        <v>287000</v>
      </c>
      <c r="D22" s="9">
        <v>980000</v>
      </c>
      <c r="E22" s="119">
        <v>791000</v>
      </c>
      <c r="F22" s="9">
        <v>158000</v>
      </c>
      <c r="G22" s="9">
        <v>633000</v>
      </c>
      <c r="H22" s="143">
        <v>402000</v>
      </c>
      <c r="I22" s="9">
        <v>113000</v>
      </c>
      <c r="J22" s="9">
        <v>289000</v>
      </c>
      <c r="K22" s="137">
        <v>68000</v>
      </c>
      <c r="L22" s="9">
        <v>16000</v>
      </c>
      <c r="M22" s="9">
        <v>52000</v>
      </c>
      <c r="N22" s="104">
        <v>6000</v>
      </c>
      <c r="O22" s="13" t="s">
        <v>220</v>
      </c>
      <c r="P22" s="9">
        <v>6000</v>
      </c>
      <c r="Q22" s="204">
        <f t="shared" si="1"/>
        <v>0.22651933701657459</v>
      </c>
      <c r="R22" s="204">
        <f t="shared" si="2"/>
        <v>0.77348066298342544</v>
      </c>
      <c r="S22" s="204">
        <f t="shared" si="3"/>
        <v>0.62430939226519333</v>
      </c>
      <c r="T22" s="204">
        <f t="shared" si="4"/>
        <v>0.12470402525651145</v>
      </c>
      <c r="U22" s="204">
        <f t="shared" si="5"/>
        <v>0.49960536700868191</v>
      </c>
      <c r="V22" s="204">
        <f t="shared" si="6"/>
        <v>0.31728492501973166</v>
      </c>
      <c r="W22" s="204">
        <f t="shared" si="7"/>
        <v>8.9187056037884765E-2</v>
      </c>
      <c r="X22" s="204">
        <f t="shared" si="8"/>
        <v>0.22809786898184689</v>
      </c>
      <c r="Y22" s="204">
        <f t="shared" si="9"/>
        <v>5.3670086819258091E-2</v>
      </c>
      <c r="Z22" s="204">
        <f t="shared" si="10"/>
        <v>1.2628255722178374E-2</v>
      </c>
      <c r="AA22" s="204">
        <f t="shared" si="11"/>
        <v>4.1041831097079713E-2</v>
      </c>
      <c r="AD22" s="204">
        <v>0.48907209023169435</v>
      </c>
      <c r="AE22" s="204">
        <v>0.67867036011080328</v>
      </c>
      <c r="AF22" s="204">
        <v>0.6039325842696629</v>
      </c>
      <c r="AG22" s="204">
        <v>0.25832492431886983</v>
      </c>
      <c r="AH22" s="204">
        <v>0.34546004232590949</v>
      </c>
      <c r="AI22" s="204">
        <v>0.30168709215342987</v>
      </c>
      <c r="AJ22" s="204">
        <v>0.14129520605550883</v>
      </c>
      <c r="AK22" s="204">
        <v>0.14475524475524476</v>
      </c>
      <c r="AL22" s="204">
        <v>0.10144927536231885</v>
      </c>
      <c r="AM22" s="204">
        <v>4.2328042328042326E-2</v>
      </c>
      <c r="AN22" s="204">
        <v>7.8699861687413553E-2</v>
      </c>
    </row>
    <row r="23" spans="1:40" ht="12.45" customHeight="1">
      <c r="A23" s="12" t="s">
        <v>325</v>
      </c>
      <c r="B23" s="166">
        <v>870000</v>
      </c>
      <c r="C23" s="9">
        <v>225000</v>
      </c>
      <c r="D23" s="9">
        <v>644000</v>
      </c>
      <c r="E23" s="119">
        <v>529000</v>
      </c>
      <c r="F23" s="9">
        <v>122000</v>
      </c>
      <c r="G23" s="9">
        <v>406000</v>
      </c>
      <c r="H23" s="143">
        <v>288000</v>
      </c>
      <c r="I23" s="9">
        <v>82000</v>
      </c>
      <c r="J23" s="9">
        <v>206000</v>
      </c>
      <c r="K23" s="137">
        <v>48000</v>
      </c>
      <c r="L23" s="9">
        <v>17000</v>
      </c>
      <c r="M23" s="9">
        <v>30000</v>
      </c>
      <c r="N23" s="152" t="s">
        <v>191</v>
      </c>
      <c r="O23" s="13" t="s">
        <v>220</v>
      </c>
      <c r="P23" s="13" t="s">
        <v>220</v>
      </c>
      <c r="Q23" s="204">
        <f t="shared" si="1"/>
        <v>0.25862068965517243</v>
      </c>
      <c r="R23" s="204">
        <f t="shared" si="2"/>
        <v>0.74022988505747123</v>
      </c>
      <c r="S23" s="204">
        <f t="shared" si="3"/>
        <v>0.60804597701149421</v>
      </c>
      <c r="T23" s="204">
        <f t="shared" si="4"/>
        <v>0.14022988505747128</v>
      </c>
      <c r="U23" s="204">
        <f t="shared" si="5"/>
        <v>0.46666666666666667</v>
      </c>
      <c r="V23" s="204">
        <f t="shared" si="6"/>
        <v>0.33103448275862069</v>
      </c>
      <c r="W23" s="204">
        <f t="shared" si="7"/>
        <v>9.4252873563218389E-2</v>
      </c>
      <c r="X23" s="204">
        <f t="shared" si="8"/>
        <v>0.23678160919540231</v>
      </c>
      <c r="Y23" s="204">
        <f t="shared" si="9"/>
        <v>5.5172413793103448E-2</v>
      </c>
      <c r="Z23" s="204">
        <f t="shared" si="10"/>
        <v>1.9540229885057471E-2</v>
      </c>
      <c r="AA23" s="204">
        <f t="shared" si="11"/>
        <v>3.4482758620689655E-2</v>
      </c>
      <c r="AD23" s="204">
        <v>0.47682119205298013</v>
      </c>
      <c r="AE23" s="204">
        <v>0.60869565217391308</v>
      </c>
      <c r="AF23" s="204">
        <v>0.59959141981613895</v>
      </c>
      <c r="AG23" s="204">
        <v>0.21818181818181817</v>
      </c>
      <c r="AH23" s="204">
        <v>0.33443267139148131</v>
      </c>
      <c r="AI23" s="204">
        <v>0.29799974519047012</v>
      </c>
      <c r="AJ23" s="204">
        <v>0.14107883817427386</v>
      </c>
      <c r="AK23" s="204">
        <v>0.14390697674418604</v>
      </c>
      <c r="AL23" s="204">
        <v>9.8231827111984277E-2</v>
      </c>
      <c r="AM23" s="204">
        <v>4.0940525587828493E-2</v>
      </c>
      <c r="AN23" s="204">
        <v>7.3033707865168537E-2</v>
      </c>
    </row>
    <row r="24" spans="1:40" ht="12.45" customHeight="1">
      <c r="A24" s="12" t="s">
        <v>326</v>
      </c>
      <c r="B24" s="166">
        <v>979000</v>
      </c>
      <c r="C24" s="9">
        <v>272000</v>
      </c>
      <c r="D24" s="9">
        <v>707000</v>
      </c>
      <c r="E24" s="119">
        <v>587000</v>
      </c>
      <c r="F24" s="9">
        <v>150000</v>
      </c>
      <c r="G24" s="9">
        <v>437000</v>
      </c>
      <c r="H24" s="143">
        <v>330000</v>
      </c>
      <c r="I24" s="9">
        <v>108000</v>
      </c>
      <c r="J24" s="9">
        <v>222000</v>
      </c>
      <c r="K24" s="137">
        <v>52000</v>
      </c>
      <c r="L24" s="9">
        <v>12000</v>
      </c>
      <c r="M24" s="9">
        <v>40000</v>
      </c>
      <c r="N24" s="104">
        <v>10000</v>
      </c>
      <c r="O24" s="13" t="s">
        <v>220</v>
      </c>
      <c r="P24" s="13" t="s">
        <v>191</v>
      </c>
      <c r="Q24" s="204">
        <f t="shared" si="1"/>
        <v>0.27783452502553624</v>
      </c>
      <c r="R24" s="204">
        <f t="shared" si="2"/>
        <v>0.72216547497446371</v>
      </c>
      <c r="S24" s="204">
        <f t="shared" si="3"/>
        <v>0.59959141981613895</v>
      </c>
      <c r="T24" s="204">
        <f t="shared" si="4"/>
        <v>0.15321756894790603</v>
      </c>
      <c r="U24" s="204">
        <f t="shared" si="5"/>
        <v>0.44637385086823289</v>
      </c>
      <c r="V24" s="204">
        <f t="shared" si="6"/>
        <v>0.33707865168539325</v>
      </c>
      <c r="W24" s="204">
        <f t="shared" si="7"/>
        <v>0.11031664964249234</v>
      </c>
      <c r="X24" s="204">
        <f t="shared" si="8"/>
        <v>0.22676200204290092</v>
      </c>
      <c r="Y24" s="204">
        <f t="shared" si="9"/>
        <v>5.3115423901940753E-2</v>
      </c>
      <c r="Z24" s="204">
        <f t="shared" si="10"/>
        <v>1.2257405515832482E-2</v>
      </c>
      <c r="AA24" s="204">
        <f t="shared" si="11"/>
        <v>4.0858018386108273E-2</v>
      </c>
      <c r="AD24" s="204">
        <v>0.47101449275362317</v>
      </c>
      <c r="AE24" s="204">
        <v>0.60606060606060608</v>
      </c>
      <c r="AF24" s="204">
        <v>0.59398376571701417</v>
      </c>
      <c r="AG24" s="204">
        <v>0.19263456090651557</v>
      </c>
      <c r="AH24" s="204">
        <v>0.33333333333333331</v>
      </c>
      <c r="AI24" s="204">
        <v>0.2970954356846473</v>
      </c>
      <c r="AJ24" s="204">
        <v>0.13309805898663979</v>
      </c>
      <c r="AK24" s="204">
        <v>0.14305949008498584</v>
      </c>
      <c r="AL24" s="204">
        <v>8.7078651685393263E-2</v>
      </c>
      <c r="AM24" s="204">
        <v>2.8985507246376812E-2</v>
      </c>
      <c r="AN24" s="204">
        <v>7.2463768115942032E-2</v>
      </c>
    </row>
    <row r="25" spans="1:40" ht="12.45" customHeight="1">
      <c r="A25" s="10" t="s">
        <v>229</v>
      </c>
      <c r="B25" s="166">
        <v>361000</v>
      </c>
      <c r="C25" s="9">
        <v>116000</v>
      </c>
      <c r="D25" s="9">
        <v>245000</v>
      </c>
      <c r="E25" s="119">
        <v>160000</v>
      </c>
      <c r="F25" s="9">
        <v>55000</v>
      </c>
      <c r="G25" s="9">
        <v>105000</v>
      </c>
      <c r="H25" s="143">
        <v>82000</v>
      </c>
      <c r="I25" s="9">
        <v>32000</v>
      </c>
      <c r="J25" s="9">
        <v>49000</v>
      </c>
      <c r="K25" s="137">
        <v>118000</v>
      </c>
      <c r="L25" s="9">
        <v>28000</v>
      </c>
      <c r="M25" s="9">
        <v>90000</v>
      </c>
      <c r="N25" s="152" t="s">
        <v>191</v>
      </c>
      <c r="O25" s="13" t="s">
        <v>220</v>
      </c>
      <c r="P25" s="13" t="s">
        <v>222</v>
      </c>
      <c r="Q25" s="204">
        <f t="shared" si="1"/>
        <v>0.32132963988919666</v>
      </c>
      <c r="R25" s="204">
        <f t="shared" si="2"/>
        <v>0.67867036011080328</v>
      </c>
      <c r="S25" s="204">
        <f t="shared" si="3"/>
        <v>0.44321329639889195</v>
      </c>
      <c r="T25" s="204">
        <f t="shared" si="4"/>
        <v>0.1523545706371191</v>
      </c>
      <c r="U25" s="204">
        <f t="shared" si="5"/>
        <v>0.29085872576177285</v>
      </c>
      <c r="V25" s="204">
        <f t="shared" si="6"/>
        <v>0.22714681440443213</v>
      </c>
      <c r="W25" s="204">
        <f t="shared" si="7"/>
        <v>8.8642659279778394E-2</v>
      </c>
      <c r="X25" s="204">
        <f t="shared" si="8"/>
        <v>0.13573407202216067</v>
      </c>
      <c r="Y25" s="204">
        <f t="shared" si="9"/>
        <v>0.32686980609418281</v>
      </c>
      <c r="Z25" s="204">
        <f t="shared" si="10"/>
        <v>7.7562326869806089E-2</v>
      </c>
      <c r="AA25" s="204">
        <f t="shared" si="11"/>
        <v>0.24930747922437674</v>
      </c>
      <c r="AD25" s="204">
        <v>0.46729819611004736</v>
      </c>
      <c r="AE25" s="204">
        <v>0.58119658119658124</v>
      </c>
      <c r="AF25" s="204">
        <v>0.59287067574205321</v>
      </c>
      <c r="AG25" s="204">
        <v>0.17948717948717949</v>
      </c>
      <c r="AH25" s="204">
        <v>0.32745147466599445</v>
      </c>
      <c r="AI25" s="204">
        <v>0.29666011787819252</v>
      </c>
      <c r="AJ25" s="204">
        <v>0.12359550561797752</v>
      </c>
      <c r="AK25" s="204">
        <v>0.14285714285714285</v>
      </c>
      <c r="AL25" s="204">
        <v>8.6799276672694395E-2</v>
      </c>
      <c r="AM25" s="204">
        <v>2.5731584258324926E-2</v>
      </c>
      <c r="AN25" s="204">
        <v>6.6907775768535266E-2</v>
      </c>
    </row>
    <row r="26" spans="1:40" ht="12.45" customHeight="1">
      <c r="A26" s="12" t="s">
        <v>323</v>
      </c>
      <c r="B26" s="166">
        <v>69000</v>
      </c>
      <c r="C26" s="9">
        <v>27000</v>
      </c>
      <c r="D26" s="9">
        <v>42000</v>
      </c>
      <c r="E26" s="119">
        <v>45000</v>
      </c>
      <c r="F26" s="9">
        <v>19000</v>
      </c>
      <c r="G26" s="9">
        <v>26000</v>
      </c>
      <c r="H26" s="143">
        <v>17000</v>
      </c>
      <c r="I26" s="9">
        <v>6000</v>
      </c>
      <c r="J26" s="9">
        <v>11000</v>
      </c>
      <c r="K26" s="137">
        <v>7000</v>
      </c>
      <c r="L26" s="9">
        <v>2000</v>
      </c>
      <c r="M26" s="9">
        <v>5000</v>
      </c>
      <c r="N26" s="152" t="s">
        <v>220</v>
      </c>
      <c r="O26" s="13" t="s">
        <v>220</v>
      </c>
      <c r="P26" s="13" t="s">
        <v>220</v>
      </c>
      <c r="Q26" s="204">
        <f t="shared" si="1"/>
        <v>0.39130434782608697</v>
      </c>
      <c r="R26" s="204">
        <f t="shared" si="2"/>
        <v>0.60869565217391308</v>
      </c>
      <c r="S26" s="204">
        <f t="shared" si="3"/>
        <v>0.65217391304347827</v>
      </c>
      <c r="T26" s="204">
        <f t="shared" si="4"/>
        <v>0.27536231884057971</v>
      </c>
      <c r="U26" s="204">
        <f t="shared" si="5"/>
        <v>0.37681159420289856</v>
      </c>
      <c r="V26" s="204">
        <f t="shared" si="6"/>
        <v>0.24637681159420291</v>
      </c>
      <c r="W26" s="204">
        <f t="shared" si="7"/>
        <v>8.6956521739130432E-2</v>
      </c>
      <c r="X26" s="204">
        <f t="shared" si="8"/>
        <v>0.15942028985507245</v>
      </c>
      <c r="Y26" s="204">
        <f t="shared" si="9"/>
        <v>0.10144927536231885</v>
      </c>
      <c r="Z26" s="204">
        <f t="shared" si="10"/>
        <v>2.8985507246376812E-2</v>
      </c>
      <c r="AA26" s="204">
        <f t="shared" si="11"/>
        <v>7.2463768115942032E-2</v>
      </c>
      <c r="AD26" s="204">
        <v>0.46058091286307051</v>
      </c>
      <c r="AE26" s="204">
        <v>0.55666269033752014</v>
      </c>
      <c r="AF26" s="204">
        <v>0.58496324039395198</v>
      </c>
      <c r="AG26" s="204">
        <v>0.17632850241545894</v>
      </c>
      <c r="AH26" s="204">
        <v>0.32226575770615812</v>
      </c>
      <c r="AI26" s="204">
        <v>0.29416737109044799</v>
      </c>
      <c r="AJ26" s="204">
        <v>0.1209563994374121</v>
      </c>
      <c r="AK26" s="204">
        <v>0.1393939393939394</v>
      </c>
      <c r="AL26" s="204">
        <v>7.3144104803493454E-2</v>
      </c>
      <c r="AM26" s="204">
        <v>2.2988505747126436E-2</v>
      </c>
      <c r="AN26" s="204">
        <v>6.1135371179039298E-2</v>
      </c>
    </row>
    <row r="27" spans="1:40" ht="12.45" customHeight="1">
      <c r="A27" s="12" t="s">
        <v>324</v>
      </c>
      <c r="B27" s="166">
        <v>117000</v>
      </c>
      <c r="C27" s="9">
        <v>49000</v>
      </c>
      <c r="D27" s="9">
        <v>68000</v>
      </c>
      <c r="E27" s="119">
        <v>52000</v>
      </c>
      <c r="F27" s="9">
        <v>21000</v>
      </c>
      <c r="G27" s="9">
        <v>31000</v>
      </c>
      <c r="H27" s="143">
        <v>26000</v>
      </c>
      <c r="I27" s="9">
        <v>13000</v>
      </c>
      <c r="J27" s="9">
        <v>13000</v>
      </c>
      <c r="K27" s="137">
        <v>39000</v>
      </c>
      <c r="L27" s="9">
        <v>15000</v>
      </c>
      <c r="M27" s="9">
        <v>24000</v>
      </c>
      <c r="N27" s="152" t="s">
        <v>220</v>
      </c>
      <c r="O27" s="13" t="s">
        <v>220</v>
      </c>
      <c r="P27" s="13" t="s">
        <v>220</v>
      </c>
      <c r="Q27" s="204">
        <f t="shared" si="1"/>
        <v>0.41880341880341881</v>
      </c>
      <c r="R27" s="204">
        <f t="shared" si="2"/>
        <v>0.58119658119658124</v>
      </c>
      <c r="S27" s="204">
        <f t="shared" si="3"/>
        <v>0.44444444444444442</v>
      </c>
      <c r="T27" s="204">
        <f t="shared" si="4"/>
        <v>0.17948717948717949</v>
      </c>
      <c r="U27" s="204">
        <f t="shared" si="5"/>
        <v>0.26495726495726496</v>
      </c>
      <c r="V27" s="204">
        <f t="shared" si="6"/>
        <v>0.22222222222222221</v>
      </c>
      <c r="W27" s="204">
        <f t="shared" si="7"/>
        <v>0.1111111111111111</v>
      </c>
      <c r="X27" s="204">
        <f t="shared" si="8"/>
        <v>0.1111111111111111</v>
      </c>
      <c r="Y27" s="204">
        <f t="shared" si="9"/>
        <v>0.33333333333333331</v>
      </c>
      <c r="Z27" s="204">
        <f t="shared" si="10"/>
        <v>0.12820512820512819</v>
      </c>
      <c r="AA27" s="204">
        <f t="shared" si="11"/>
        <v>0.20512820512820512</v>
      </c>
      <c r="AD27" s="204">
        <v>0.45850914205344584</v>
      </c>
      <c r="AE27" s="204">
        <v>0.54149085794655416</v>
      </c>
      <c r="AF27" s="204">
        <v>0.57427385892116178</v>
      </c>
      <c r="AG27" s="204">
        <v>0.17018284106891701</v>
      </c>
      <c r="AH27" s="204">
        <v>0.32026392151443966</v>
      </c>
      <c r="AI27" s="204">
        <v>0.29148471615720523</v>
      </c>
      <c r="AJ27" s="204">
        <v>0.11920529801324503</v>
      </c>
      <c r="AK27" s="204">
        <v>0.13858676584099361</v>
      </c>
      <c r="AL27" s="204">
        <v>7.1895424836601302E-2</v>
      </c>
      <c r="AM27" s="204">
        <v>2.2400676246830092E-2</v>
      </c>
      <c r="AN27" s="204">
        <v>4.1041831097079713E-2</v>
      </c>
    </row>
    <row r="28" spans="1:40" ht="12.45" customHeight="1">
      <c r="A28" s="12" t="s">
        <v>325</v>
      </c>
      <c r="B28" s="166">
        <v>77000</v>
      </c>
      <c r="C28" s="9">
        <v>24000</v>
      </c>
      <c r="D28" s="9">
        <v>53000</v>
      </c>
      <c r="E28" s="119">
        <v>29000</v>
      </c>
      <c r="F28" s="9">
        <v>9000</v>
      </c>
      <c r="G28" s="9">
        <v>20000</v>
      </c>
      <c r="H28" s="143">
        <v>18000</v>
      </c>
      <c r="I28" s="9">
        <v>9000</v>
      </c>
      <c r="J28" s="9">
        <v>10000</v>
      </c>
      <c r="K28" s="137">
        <v>30000</v>
      </c>
      <c r="L28" s="9">
        <v>7000</v>
      </c>
      <c r="M28" s="9">
        <v>24000</v>
      </c>
      <c r="N28" s="152" t="s">
        <v>220</v>
      </c>
      <c r="O28" s="13" t="s">
        <v>220</v>
      </c>
      <c r="P28" s="13" t="s">
        <v>220</v>
      </c>
      <c r="Q28" s="204">
        <f t="shared" si="1"/>
        <v>0.31168831168831168</v>
      </c>
      <c r="R28" s="204">
        <f t="shared" si="2"/>
        <v>0.68831168831168832</v>
      </c>
      <c r="S28" s="204">
        <f t="shared" si="3"/>
        <v>0.37662337662337664</v>
      </c>
      <c r="T28" s="204">
        <f t="shared" si="4"/>
        <v>0.11688311688311688</v>
      </c>
      <c r="U28" s="204">
        <f t="shared" si="5"/>
        <v>0.25974025974025972</v>
      </c>
      <c r="V28" s="204">
        <f t="shared" si="6"/>
        <v>0.23376623376623376</v>
      </c>
      <c r="W28" s="204">
        <f t="shared" si="7"/>
        <v>0.11688311688311688</v>
      </c>
      <c r="X28" s="204">
        <f t="shared" si="8"/>
        <v>0.12987012987012986</v>
      </c>
      <c r="Y28" s="204">
        <f t="shared" si="9"/>
        <v>0.38961038961038963</v>
      </c>
      <c r="Z28" s="204">
        <f t="shared" si="10"/>
        <v>9.0909090909090912E-2</v>
      </c>
      <c r="AA28" s="204">
        <f t="shared" si="11"/>
        <v>0.31168831168831168</v>
      </c>
      <c r="AD28" s="204">
        <v>0.44326713914812993</v>
      </c>
      <c r="AE28" s="204">
        <v>0.53941908713692943</v>
      </c>
      <c r="AF28" s="204">
        <v>0.569620253164557</v>
      </c>
      <c r="AG28" s="204">
        <v>0.15321756894790603</v>
      </c>
      <c r="AH28" s="204">
        <v>0.31282826675155179</v>
      </c>
      <c r="AI28" s="204">
        <v>0.28794093519278097</v>
      </c>
      <c r="AJ28" s="204">
        <v>0.11688311688311688</v>
      </c>
      <c r="AK28" s="204">
        <v>0.13573407202216067</v>
      </c>
      <c r="AL28" s="204">
        <v>5.5504876850747314E-2</v>
      </c>
      <c r="AM28" s="204">
        <v>2.2149302707136997E-2</v>
      </c>
      <c r="AN28" s="204">
        <v>4.0858018386108273E-2</v>
      </c>
    </row>
    <row r="29" spans="1:40" ht="12.45" customHeight="1">
      <c r="A29" s="12" t="s">
        <v>326</v>
      </c>
      <c r="B29" s="166">
        <v>97000</v>
      </c>
      <c r="C29" s="9">
        <v>16000</v>
      </c>
      <c r="D29" s="9">
        <v>82000</v>
      </c>
      <c r="E29" s="119">
        <v>35000</v>
      </c>
      <c r="F29" s="9">
        <v>7000</v>
      </c>
      <c r="G29" s="9">
        <v>28000</v>
      </c>
      <c r="H29" s="143">
        <v>20000</v>
      </c>
      <c r="I29" s="9">
        <v>4000</v>
      </c>
      <c r="J29" s="9">
        <v>16000</v>
      </c>
      <c r="K29" s="137">
        <v>42000</v>
      </c>
      <c r="L29" s="9">
        <v>5000</v>
      </c>
      <c r="M29" s="9">
        <v>38000</v>
      </c>
      <c r="N29" s="152" t="s">
        <v>220</v>
      </c>
      <c r="O29" s="13" t="s">
        <v>220</v>
      </c>
      <c r="P29" s="13" t="s">
        <v>220</v>
      </c>
      <c r="Q29" s="204">
        <f t="shared" si="1"/>
        <v>0.16494845360824742</v>
      </c>
      <c r="R29" s="204">
        <f t="shared" si="2"/>
        <v>0.84536082474226804</v>
      </c>
      <c r="S29" s="204">
        <f t="shared" si="3"/>
        <v>0.36082474226804123</v>
      </c>
      <c r="T29" s="204">
        <f t="shared" si="4"/>
        <v>7.2164948453608241E-2</v>
      </c>
      <c r="U29" s="204">
        <f t="shared" si="5"/>
        <v>0.28865979381443296</v>
      </c>
      <c r="V29" s="204">
        <f t="shared" si="6"/>
        <v>0.20618556701030927</v>
      </c>
      <c r="W29" s="204">
        <f t="shared" si="7"/>
        <v>4.1237113402061855E-2</v>
      </c>
      <c r="X29" s="204">
        <f t="shared" si="8"/>
        <v>0.16494845360824742</v>
      </c>
      <c r="Y29" s="204">
        <f t="shared" si="9"/>
        <v>0.4329896907216495</v>
      </c>
      <c r="Z29" s="204">
        <f t="shared" si="10"/>
        <v>5.1546391752577317E-2</v>
      </c>
      <c r="AA29" s="204">
        <f t="shared" si="11"/>
        <v>0.39175257731958762</v>
      </c>
      <c r="AD29" s="204">
        <v>0.41880341880341881</v>
      </c>
      <c r="AE29" s="204">
        <v>0.53623188405797106</v>
      </c>
      <c r="AF29" s="204">
        <v>0.55693023255813956</v>
      </c>
      <c r="AG29" s="204">
        <v>0.1523545706371191</v>
      </c>
      <c r="AH29" s="204">
        <v>0.31188686456873488</v>
      </c>
      <c r="AI29" s="204">
        <v>0.28691142164745315</v>
      </c>
      <c r="AJ29" s="204">
        <v>0.1111111111111111</v>
      </c>
      <c r="AK29" s="204">
        <v>0.13441031354448513</v>
      </c>
      <c r="AL29" s="204">
        <v>5.5172413793103448E-2</v>
      </c>
      <c r="AM29" s="204">
        <v>2.1699819168173599E-2</v>
      </c>
      <c r="AN29" s="204">
        <v>3.5365939232334574E-2</v>
      </c>
    </row>
    <row r="30" spans="1:40" ht="12.45" customHeight="1">
      <c r="A30" s="10" t="s">
        <v>230</v>
      </c>
      <c r="B30" s="166">
        <v>504000</v>
      </c>
      <c r="C30" s="9">
        <v>301000</v>
      </c>
      <c r="D30" s="9">
        <v>204000</v>
      </c>
      <c r="E30" s="119">
        <v>113000</v>
      </c>
      <c r="F30" s="9">
        <v>67000</v>
      </c>
      <c r="G30" s="9">
        <v>46000</v>
      </c>
      <c r="H30" s="143">
        <v>196000</v>
      </c>
      <c r="I30" s="9">
        <v>124000</v>
      </c>
      <c r="J30" s="9">
        <v>72000</v>
      </c>
      <c r="K30" s="137">
        <v>170000</v>
      </c>
      <c r="L30" s="9">
        <v>90000</v>
      </c>
      <c r="M30" s="9">
        <v>80000</v>
      </c>
      <c r="N30" s="104">
        <v>25000</v>
      </c>
      <c r="O30" s="9">
        <v>20000</v>
      </c>
      <c r="P30" s="9">
        <v>6000</v>
      </c>
      <c r="Q30" s="204">
        <f t="shared" si="1"/>
        <v>0.59722222222222221</v>
      </c>
      <c r="R30" s="204">
        <f t="shared" si="2"/>
        <v>0.40476190476190477</v>
      </c>
      <c r="S30" s="204">
        <f t="shared" si="3"/>
        <v>0.22420634920634921</v>
      </c>
      <c r="T30" s="204">
        <f t="shared" si="4"/>
        <v>0.13293650793650794</v>
      </c>
      <c r="U30" s="204">
        <f t="shared" si="5"/>
        <v>9.1269841269841265E-2</v>
      </c>
      <c r="V30" s="204">
        <f t="shared" si="6"/>
        <v>0.3888888888888889</v>
      </c>
      <c r="W30" s="204">
        <f t="shared" si="7"/>
        <v>0.24603174603174602</v>
      </c>
      <c r="X30" s="204">
        <f t="shared" si="8"/>
        <v>0.14285714285714285</v>
      </c>
      <c r="Y30" s="204">
        <f t="shared" si="9"/>
        <v>0.33730158730158732</v>
      </c>
      <c r="Z30" s="204">
        <f t="shared" si="10"/>
        <v>0.17857142857142858</v>
      </c>
      <c r="AA30" s="204">
        <f t="shared" si="11"/>
        <v>0.15873015873015872</v>
      </c>
      <c r="AD30" s="204">
        <v>0.39393939393939392</v>
      </c>
      <c r="AE30" s="204">
        <v>0.53270180388995259</v>
      </c>
      <c r="AF30" s="204">
        <v>0.55172413793103448</v>
      </c>
      <c r="AG30" s="204">
        <v>0.14809000523286237</v>
      </c>
      <c r="AH30" s="204">
        <v>0.29451162790697677</v>
      </c>
      <c r="AI30" s="204">
        <v>0.28582285477407765</v>
      </c>
      <c r="AJ30" s="204">
        <v>0.1111111111111111</v>
      </c>
      <c r="AK30" s="204">
        <v>0.13316687473990846</v>
      </c>
      <c r="AL30" s="204">
        <v>5.3670086819258091E-2</v>
      </c>
      <c r="AM30" s="204">
        <v>2.1442006269592476E-2</v>
      </c>
      <c r="AN30" s="204">
        <v>3.4482758620689655E-2</v>
      </c>
    </row>
    <row r="31" spans="1:40" ht="12.45" customHeight="1">
      <c r="A31" s="12" t="s">
        <v>323</v>
      </c>
      <c r="B31" s="166">
        <v>87000</v>
      </c>
      <c r="C31" s="9">
        <v>61000</v>
      </c>
      <c r="D31" s="9">
        <v>26000</v>
      </c>
      <c r="E31" s="119">
        <v>48000</v>
      </c>
      <c r="F31" s="9">
        <v>32000</v>
      </c>
      <c r="G31" s="9">
        <v>16000</v>
      </c>
      <c r="H31" s="143">
        <v>35000</v>
      </c>
      <c r="I31" s="9">
        <v>26000</v>
      </c>
      <c r="J31" s="9">
        <v>9000</v>
      </c>
      <c r="K31" s="137">
        <v>3000</v>
      </c>
      <c r="L31" s="9">
        <v>2000</v>
      </c>
      <c r="M31" s="9">
        <v>1000</v>
      </c>
      <c r="N31" s="152" t="s">
        <v>220</v>
      </c>
      <c r="O31" s="13" t="s">
        <v>220</v>
      </c>
      <c r="P31" s="13" t="s">
        <v>220</v>
      </c>
      <c r="Q31" s="204">
        <f t="shared" si="1"/>
        <v>0.70114942528735635</v>
      </c>
      <c r="R31" s="204">
        <f t="shared" si="2"/>
        <v>0.2988505747126437</v>
      </c>
      <c r="S31" s="204">
        <f t="shared" si="3"/>
        <v>0.55172413793103448</v>
      </c>
      <c r="T31" s="204">
        <f t="shared" si="4"/>
        <v>0.36781609195402298</v>
      </c>
      <c r="U31" s="204">
        <f t="shared" si="5"/>
        <v>0.18390804597701149</v>
      </c>
      <c r="V31" s="204">
        <f t="shared" si="6"/>
        <v>0.40229885057471265</v>
      </c>
      <c r="W31" s="204">
        <f t="shared" si="7"/>
        <v>0.2988505747126437</v>
      </c>
      <c r="X31" s="204">
        <f t="shared" si="8"/>
        <v>0.10344827586206896</v>
      </c>
      <c r="Y31" s="204">
        <f t="shared" si="9"/>
        <v>3.4482758620689655E-2</v>
      </c>
      <c r="Z31" s="204">
        <f t="shared" si="10"/>
        <v>2.2988505747126436E-2</v>
      </c>
      <c r="AA31" s="204">
        <f t="shared" si="11"/>
        <v>1.1494252873563218E-2</v>
      </c>
      <c r="AD31" s="204">
        <v>0.39130434782608697</v>
      </c>
      <c r="AE31" s="204">
        <v>0.52317880794701987</v>
      </c>
      <c r="AF31" s="204">
        <v>0.53679285410463629</v>
      </c>
      <c r="AG31" s="204">
        <v>0.14022988505747128</v>
      </c>
      <c r="AH31" s="204">
        <v>0.29085872576177285</v>
      </c>
      <c r="AI31" s="204">
        <v>0.28383973054522488</v>
      </c>
      <c r="AJ31" s="204">
        <v>0.11031664964249234</v>
      </c>
      <c r="AK31" s="204">
        <v>0.13289581624282198</v>
      </c>
      <c r="AL31" s="204">
        <v>5.3115423901940753E-2</v>
      </c>
      <c r="AM31" s="204">
        <v>2.0138937618412744E-2</v>
      </c>
      <c r="AN31" s="204">
        <v>3.3490319204604921E-2</v>
      </c>
    </row>
    <row r="32" spans="1:40" ht="12.45" customHeight="1">
      <c r="A32" s="12" t="s">
        <v>324</v>
      </c>
      <c r="B32" s="166">
        <v>173000</v>
      </c>
      <c r="C32" s="9">
        <v>107000</v>
      </c>
      <c r="D32" s="9">
        <v>66000</v>
      </c>
      <c r="E32" s="119">
        <v>29000</v>
      </c>
      <c r="F32" s="9">
        <v>18000</v>
      </c>
      <c r="G32" s="9">
        <v>11000</v>
      </c>
      <c r="H32" s="143">
        <v>79000</v>
      </c>
      <c r="I32" s="9">
        <v>47000</v>
      </c>
      <c r="J32" s="9">
        <v>31000</v>
      </c>
      <c r="K32" s="137">
        <v>53000</v>
      </c>
      <c r="L32" s="9">
        <v>31000</v>
      </c>
      <c r="M32" s="9">
        <v>22000</v>
      </c>
      <c r="N32" s="104">
        <v>12000</v>
      </c>
      <c r="O32" s="13" t="s">
        <v>191</v>
      </c>
      <c r="P32" s="9">
        <v>2000</v>
      </c>
      <c r="Q32" s="204">
        <f t="shared" si="1"/>
        <v>0.61849710982658956</v>
      </c>
      <c r="R32" s="204">
        <f t="shared" si="2"/>
        <v>0.38150289017341038</v>
      </c>
      <c r="S32" s="204">
        <f t="shared" si="3"/>
        <v>0.16763005780346821</v>
      </c>
      <c r="T32" s="204">
        <f t="shared" si="4"/>
        <v>0.10404624277456648</v>
      </c>
      <c r="U32" s="204">
        <f t="shared" si="5"/>
        <v>6.358381502890173E-2</v>
      </c>
      <c r="V32" s="204">
        <f t="shared" si="6"/>
        <v>0.45664739884393063</v>
      </c>
      <c r="W32" s="204">
        <f t="shared" si="7"/>
        <v>0.27167630057803466</v>
      </c>
      <c r="X32" s="204">
        <f t="shared" si="8"/>
        <v>0.1791907514450867</v>
      </c>
      <c r="Y32" s="204">
        <f t="shared" si="9"/>
        <v>0.30635838150289019</v>
      </c>
      <c r="Z32" s="204">
        <f t="shared" si="10"/>
        <v>0.1791907514450867</v>
      </c>
      <c r="AA32" s="204">
        <f t="shared" si="11"/>
        <v>0.12716763005780346</v>
      </c>
      <c r="AD32" s="204">
        <v>0.32132963988919666</v>
      </c>
      <c r="AE32" s="204">
        <v>0.51092790976830571</v>
      </c>
      <c r="AF32" s="204">
        <v>0.53397435897435896</v>
      </c>
      <c r="AG32" s="204">
        <v>0.13907284768211919</v>
      </c>
      <c r="AH32" s="204">
        <v>0.29074767651546679</v>
      </c>
      <c r="AI32" s="204">
        <v>0.28175548589341692</v>
      </c>
      <c r="AJ32" s="204">
        <v>0.10506167588260315</v>
      </c>
      <c r="AK32" s="204">
        <v>0.13071895424836602</v>
      </c>
      <c r="AL32" s="204">
        <v>4.9949545913218971E-2</v>
      </c>
      <c r="AM32" s="204">
        <v>2.0093023255813955E-2</v>
      </c>
      <c r="AN32" s="204">
        <v>2.7069767441860466E-2</v>
      </c>
    </row>
    <row r="33" spans="1:40" ht="12.45" customHeight="1">
      <c r="A33" s="12" t="s">
        <v>325</v>
      </c>
      <c r="B33" s="166">
        <v>106000</v>
      </c>
      <c r="C33" s="9">
        <v>69000</v>
      </c>
      <c r="D33" s="9">
        <v>37000</v>
      </c>
      <c r="E33" s="119">
        <v>19000</v>
      </c>
      <c r="F33" s="9">
        <v>11000</v>
      </c>
      <c r="G33" s="9">
        <v>7000</v>
      </c>
      <c r="H33" s="143">
        <v>35000</v>
      </c>
      <c r="I33" s="9">
        <v>25000</v>
      </c>
      <c r="J33" s="9">
        <v>11000</v>
      </c>
      <c r="K33" s="137">
        <v>48000</v>
      </c>
      <c r="L33" s="9">
        <v>29000</v>
      </c>
      <c r="M33" s="9">
        <v>19000</v>
      </c>
      <c r="N33" s="104">
        <v>4000</v>
      </c>
      <c r="O33" s="9">
        <v>3000</v>
      </c>
      <c r="P33" s="13" t="s">
        <v>222</v>
      </c>
      <c r="Q33" s="204">
        <f t="shared" si="1"/>
        <v>0.65094339622641506</v>
      </c>
      <c r="R33" s="204">
        <f t="shared" si="2"/>
        <v>0.34905660377358488</v>
      </c>
      <c r="S33" s="204">
        <f t="shared" si="3"/>
        <v>0.17924528301886791</v>
      </c>
      <c r="T33" s="204">
        <f t="shared" si="4"/>
        <v>0.10377358490566038</v>
      </c>
      <c r="U33" s="204">
        <f t="shared" si="5"/>
        <v>6.6037735849056603E-2</v>
      </c>
      <c r="V33" s="204">
        <f t="shared" si="6"/>
        <v>0.330188679245283</v>
      </c>
      <c r="W33" s="204">
        <f t="shared" si="7"/>
        <v>0.23584905660377359</v>
      </c>
      <c r="X33" s="204">
        <f t="shared" si="8"/>
        <v>0.10377358490566038</v>
      </c>
      <c r="Y33" s="204">
        <f t="shared" si="9"/>
        <v>0.45283018867924529</v>
      </c>
      <c r="Z33" s="204">
        <f t="shared" si="10"/>
        <v>0.27358490566037735</v>
      </c>
      <c r="AA33" s="204">
        <f t="shared" si="11"/>
        <v>0.17924528301886791</v>
      </c>
      <c r="AD33" s="204">
        <v>0.31168831168831168</v>
      </c>
      <c r="AE33" s="204">
        <v>0.50328137817883511</v>
      </c>
      <c r="AF33" s="204">
        <v>0.52169312169312165</v>
      </c>
      <c r="AG33" s="204">
        <v>0.13526970954356846</v>
      </c>
      <c r="AH33" s="204">
        <v>0.28865979381443296</v>
      </c>
      <c r="AI33" s="204">
        <v>0.27783936309583795</v>
      </c>
      <c r="AJ33" s="204">
        <v>0.10303030303030303</v>
      </c>
      <c r="AK33" s="204">
        <v>0.12987012987012986</v>
      </c>
      <c r="AL33" s="204">
        <v>4.7255813953488372E-2</v>
      </c>
      <c r="AM33" s="204">
        <v>1.9540229885057471E-2</v>
      </c>
      <c r="AN33" s="204">
        <v>2.6143790849673203E-2</v>
      </c>
    </row>
    <row r="34" spans="1:40" ht="12.45" customHeight="1">
      <c r="A34" s="12" t="s">
        <v>326</v>
      </c>
      <c r="B34" s="166">
        <v>138000</v>
      </c>
      <c r="C34" s="9">
        <v>65000</v>
      </c>
      <c r="D34" s="9">
        <v>74000</v>
      </c>
      <c r="E34" s="119">
        <v>18000</v>
      </c>
      <c r="F34" s="9">
        <v>6000</v>
      </c>
      <c r="G34" s="9">
        <v>12000</v>
      </c>
      <c r="H34" s="143">
        <v>47000</v>
      </c>
      <c r="I34" s="9">
        <v>26000</v>
      </c>
      <c r="J34" s="9">
        <v>21000</v>
      </c>
      <c r="K34" s="137">
        <v>65000</v>
      </c>
      <c r="L34" s="9">
        <v>28000</v>
      </c>
      <c r="M34" s="9">
        <v>37000</v>
      </c>
      <c r="N34" s="104">
        <v>8000</v>
      </c>
      <c r="O34" s="9">
        <v>5000</v>
      </c>
      <c r="P34" s="9">
        <v>4000</v>
      </c>
      <c r="Q34" s="204">
        <f t="shared" si="1"/>
        <v>0.47101449275362317</v>
      </c>
      <c r="R34" s="204">
        <f t="shared" si="2"/>
        <v>0.53623188405797106</v>
      </c>
      <c r="S34" s="204">
        <f t="shared" si="3"/>
        <v>0.13043478260869565</v>
      </c>
      <c r="T34" s="204">
        <f t="shared" si="4"/>
        <v>4.3478260869565216E-2</v>
      </c>
      <c r="U34" s="204">
        <f t="shared" si="5"/>
        <v>8.6956521739130432E-2</v>
      </c>
      <c r="V34" s="204">
        <f t="shared" si="6"/>
        <v>0.34057971014492755</v>
      </c>
      <c r="W34" s="204">
        <f t="shared" si="7"/>
        <v>0.18840579710144928</v>
      </c>
      <c r="X34" s="204">
        <f t="shared" si="8"/>
        <v>0.15217391304347827</v>
      </c>
      <c r="Y34" s="204">
        <f t="shared" si="9"/>
        <v>0.47101449275362317</v>
      </c>
      <c r="Z34" s="204">
        <f t="shared" si="10"/>
        <v>0.20289855072463769</v>
      </c>
      <c r="AA34" s="204">
        <f t="shared" si="11"/>
        <v>0.26811594202898553</v>
      </c>
      <c r="AD34" s="204">
        <v>0.31048951048951051</v>
      </c>
      <c r="AE34" s="204">
        <v>0.499920420181442</v>
      </c>
      <c r="AF34" s="204">
        <v>0.51648902821316611</v>
      </c>
      <c r="AG34" s="204">
        <v>0.13293650793650794</v>
      </c>
      <c r="AH34" s="204">
        <v>0.26495726495726496</v>
      </c>
      <c r="AI34" s="204">
        <v>0.25311203319502074</v>
      </c>
      <c r="AJ34" s="204">
        <v>9.5435684647302899E-2</v>
      </c>
      <c r="AK34" s="204">
        <v>0.12966700302724521</v>
      </c>
      <c r="AL34" s="204">
        <v>4.6349466776045942E-2</v>
      </c>
      <c r="AM34" s="204">
        <v>1.7985038994111094E-2</v>
      </c>
      <c r="AN34" s="204">
        <v>2.5343691255407332E-2</v>
      </c>
    </row>
    <row r="35" spans="1:40" ht="12.45" customHeight="1">
      <c r="A35" s="10" t="s">
        <v>231</v>
      </c>
      <c r="B35" s="166">
        <v>1832000</v>
      </c>
      <c r="C35" s="9">
        <v>284000</v>
      </c>
      <c r="D35" s="9">
        <v>1548000</v>
      </c>
      <c r="E35" s="119">
        <v>1163000</v>
      </c>
      <c r="F35" s="9">
        <v>167000</v>
      </c>
      <c r="G35" s="9">
        <v>996000</v>
      </c>
      <c r="H35" s="143">
        <v>534000</v>
      </c>
      <c r="I35" s="9">
        <v>94000</v>
      </c>
      <c r="J35" s="9">
        <v>439000</v>
      </c>
      <c r="K35" s="137">
        <v>134000</v>
      </c>
      <c r="L35" s="9">
        <v>22000</v>
      </c>
      <c r="M35" s="9">
        <v>112000</v>
      </c>
      <c r="N35" s="152" t="s">
        <v>191</v>
      </c>
      <c r="O35" s="13" t="s">
        <v>220</v>
      </c>
      <c r="P35" s="13" t="s">
        <v>191</v>
      </c>
      <c r="Q35" s="204">
        <f t="shared" si="1"/>
        <v>0.15502183406113537</v>
      </c>
      <c r="R35" s="204">
        <f t="shared" si="2"/>
        <v>0.84497816593886466</v>
      </c>
      <c r="S35" s="204">
        <f t="shared" si="3"/>
        <v>0.63482532751091703</v>
      </c>
      <c r="T35" s="204">
        <f t="shared" si="4"/>
        <v>9.1157205240174677E-2</v>
      </c>
      <c r="U35" s="204">
        <f t="shared" si="5"/>
        <v>0.54366812227074235</v>
      </c>
      <c r="V35" s="204">
        <f t="shared" si="6"/>
        <v>0.29148471615720523</v>
      </c>
      <c r="W35" s="204">
        <f t="shared" si="7"/>
        <v>5.1310043668122272E-2</v>
      </c>
      <c r="X35" s="204">
        <f t="shared" si="8"/>
        <v>0.23962882096069868</v>
      </c>
      <c r="Y35" s="204">
        <f t="shared" si="9"/>
        <v>7.3144104803493454E-2</v>
      </c>
      <c r="Z35" s="204">
        <f t="shared" si="10"/>
        <v>1.2008733624454149E-2</v>
      </c>
      <c r="AA35" s="204">
        <f t="shared" si="11"/>
        <v>6.1135371179039298E-2</v>
      </c>
      <c r="AD35" s="204">
        <v>0.27884615384615385</v>
      </c>
      <c r="AE35" s="204">
        <v>0.4998139534883721</v>
      </c>
      <c r="AF35" s="204">
        <v>0.50902378999179654</v>
      </c>
      <c r="AG35" s="204">
        <v>0.13278008298755187</v>
      </c>
      <c r="AH35" s="204">
        <v>0.25988225399495374</v>
      </c>
      <c r="AI35" s="204">
        <v>0.24637681159420291</v>
      </c>
      <c r="AJ35" s="204">
        <v>9.4871794871794868E-2</v>
      </c>
      <c r="AK35" s="204">
        <v>0.12898330804248861</v>
      </c>
      <c r="AL35" s="204">
        <v>4.5264259549973838E-2</v>
      </c>
      <c r="AM35" s="204">
        <v>1.716757638212579E-2</v>
      </c>
      <c r="AN35" s="204">
        <v>2.4217961654894045E-2</v>
      </c>
    </row>
    <row r="36" spans="1:40" ht="12.45" customHeight="1">
      <c r="A36" s="12" t="s">
        <v>323</v>
      </c>
      <c r="B36" s="166">
        <v>414000</v>
      </c>
      <c r="C36" s="9">
        <v>92000</v>
      </c>
      <c r="D36" s="9">
        <v>323000</v>
      </c>
      <c r="E36" s="119">
        <v>326000</v>
      </c>
      <c r="F36" s="9">
        <v>73000</v>
      </c>
      <c r="G36" s="9">
        <v>253000</v>
      </c>
      <c r="H36" s="143">
        <v>85000</v>
      </c>
      <c r="I36" s="9">
        <v>18000</v>
      </c>
      <c r="J36" s="9">
        <v>67000</v>
      </c>
      <c r="K36" s="137">
        <v>4000</v>
      </c>
      <c r="L36" s="9">
        <v>1000</v>
      </c>
      <c r="M36" s="9">
        <v>3000</v>
      </c>
      <c r="N36" s="152" t="s">
        <v>220</v>
      </c>
      <c r="O36" s="13" t="s">
        <v>220</v>
      </c>
      <c r="P36" s="13" t="s">
        <v>220</v>
      </c>
      <c r="Q36" s="204">
        <f t="shared" si="1"/>
        <v>0.22222222222222221</v>
      </c>
      <c r="R36" s="204">
        <f t="shared" si="2"/>
        <v>0.78019323671497587</v>
      </c>
      <c r="S36" s="204">
        <f t="shared" si="3"/>
        <v>0.7874396135265701</v>
      </c>
      <c r="T36" s="204">
        <f t="shared" si="4"/>
        <v>0.17632850241545894</v>
      </c>
      <c r="U36" s="204">
        <f t="shared" si="5"/>
        <v>0.61111111111111116</v>
      </c>
      <c r="V36" s="204">
        <f t="shared" si="6"/>
        <v>0.20531400966183574</v>
      </c>
      <c r="W36" s="204">
        <f t="shared" si="7"/>
        <v>4.3478260869565216E-2</v>
      </c>
      <c r="X36" s="204">
        <f t="shared" si="8"/>
        <v>0.16183574879227053</v>
      </c>
      <c r="Y36" s="204">
        <f t="shared" si="9"/>
        <v>9.6618357487922701E-3</v>
      </c>
      <c r="Z36" s="204">
        <f t="shared" si="10"/>
        <v>2.4154589371980675E-3</v>
      </c>
      <c r="AA36" s="204">
        <f t="shared" si="11"/>
        <v>7.246376811594203E-3</v>
      </c>
      <c r="AD36" s="204">
        <v>0.27783452502553624</v>
      </c>
      <c r="AE36" s="204">
        <v>0.49673202614379086</v>
      </c>
      <c r="AF36" s="204">
        <v>0.48013524936601859</v>
      </c>
      <c r="AG36" s="204">
        <v>0.12470402525651145</v>
      </c>
      <c r="AH36" s="204">
        <v>0.25974025974025972</v>
      </c>
      <c r="AI36" s="204">
        <v>0.24183006535947713</v>
      </c>
      <c r="AJ36" s="204">
        <v>9.4252873563218389E-2</v>
      </c>
      <c r="AK36" s="204">
        <v>0.12496220900937216</v>
      </c>
      <c r="AL36" s="204">
        <v>4.3533389687235843E-2</v>
      </c>
      <c r="AM36" s="204">
        <v>1.5418724176156404E-2</v>
      </c>
      <c r="AN36" s="204">
        <v>2.4200164068908941E-2</v>
      </c>
    </row>
    <row r="37" spans="1:40" ht="12.45" customHeight="1">
      <c r="A37" s="12" t="s">
        <v>324</v>
      </c>
      <c r="B37" s="166">
        <v>553000</v>
      </c>
      <c r="C37" s="9">
        <v>96000</v>
      </c>
      <c r="D37" s="9">
        <v>457000</v>
      </c>
      <c r="E37" s="119">
        <v>315000</v>
      </c>
      <c r="F37" s="9">
        <v>44000</v>
      </c>
      <c r="G37" s="9">
        <v>271000</v>
      </c>
      <c r="H37" s="143">
        <v>189000</v>
      </c>
      <c r="I37" s="9">
        <v>40000</v>
      </c>
      <c r="J37" s="9">
        <v>149000</v>
      </c>
      <c r="K37" s="137">
        <v>48000</v>
      </c>
      <c r="L37" s="9">
        <v>12000</v>
      </c>
      <c r="M37" s="9">
        <v>37000</v>
      </c>
      <c r="N37" s="152" t="s">
        <v>220</v>
      </c>
      <c r="O37" s="13" t="s">
        <v>220</v>
      </c>
      <c r="P37" s="13" t="s">
        <v>220</v>
      </c>
      <c r="Q37" s="204">
        <f t="shared" si="1"/>
        <v>0.17359855334538879</v>
      </c>
      <c r="R37" s="204">
        <f t="shared" si="2"/>
        <v>0.82640144665461124</v>
      </c>
      <c r="S37" s="204">
        <f t="shared" si="3"/>
        <v>0.569620253164557</v>
      </c>
      <c r="T37" s="204">
        <f t="shared" si="4"/>
        <v>7.956600361663653E-2</v>
      </c>
      <c r="U37" s="204">
        <f t="shared" si="5"/>
        <v>0.49005424954792043</v>
      </c>
      <c r="V37" s="204">
        <f t="shared" si="6"/>
        <v>0.34177215189873417</v>
      </c>
      <c r="W37" s="204">
        <f t="shared" si="7"/>
        <v>7.2332730560578665E-2</v>
      </c>
      <c r="X37" s="204">
        <f t="shared" si="8"/>
        <v>0.26943942133815552</v>
      </c>
      <c r="Y37" s="204">
        <f t="shared" si="9"/>
        <v>8.6799276672694395E-2</v>
      </c>
      <c r="Z37" s="204">
        <f t="shared" si="10"/>
        <v>2.1699819168173599E-2</v>
      </c>
      <c r="AA37" s="204">
        <f t="shared" si="11"/>
        <v>6.6907775768535266E-2</v>
      </c>
      <c r="AD37" s="204">
        <v>0.27634854771784234</v>
      </c>
      <c r="AE37" s="204">
        <v>0.4743678319745751</v>
      </c>
      <c r="AF37" s="204">
        <v>0.4727547931382442</v>
      </c>
      <c r="AG37" s="204">
        <v>0.12051282051282051</v>
      </c>
      <c r="AH37" s="204">
        <v>0.22846595570139458</v>
      </c>
      <c r="AI37" s="204">
        <v>0.23636363636363636</v>
      </c>
      <c r="AJ37" s="204">
        <v>9.3121693121693119E-2</v>
      </c>
      <c r="AK37" s="204">
        <v>0.11622992392223161</v>
      </c>
      <c r="AL37" s="204">
        <v>4.2511267637533122E-2</v>
      </c>
      <c r="AM37" s="204">
        <v>1.4044943820224719E-2</v>
      </c>
      <c r="AN37" s="204">
        <v>2.3480802176761059E-2</v>
      </c>
    </row>
    <row r="38" spans="1:40" ht="12.45" customHeight="1">
      <c r="A38" s="12" t="s">
        <v>325</v>
      </c>
      <c r="B38" s="166">
        <v>356000</v>
      </c>
      <c r="C38" s="9">
        <v>45000</v>
      </c>
      <c r="D38" s="9">
        <v>311000</v>
      </c>
      <c r="E38" s="119">
        <v>215000</v>
      </c>
      <c r="F38" s="9">
        <v>25000</v>
      </c>
      <c r="G38" s="9">
        <v>190000</v>
      </c>
      <c r="H38" s="143">
        <v>109000</v>
      </c>
      <c r="I38" s="9">
        <v>15000</v>
      </c>
      <c r="J38" s="9">
        <v>94000</v>
      </c>
      <c r="K38" s="137">
        <v>31000</v>
      </c>
      <c r="L38" s="9">
        <v>5000</v>
      </c>
      <c r="M38" s="9">
        <v>26000</v>
      </c>
      <c r="N38" s="152" t="s">
        <v>220</v>
      </c>
      <c r="O38" s="13" t="s">
        <v>220</v>
      </c>
      <c r="P38" s="13" t="s">
        <v>220</v>
      </c>
      <c r="Q38" s="204">
        <f t="shared" si="1"/>
        <v>0.12640449438202248</v>
      </c>
      <c r="R38" s="204">
        <f t="shared" si="2"/>
        <v>0.8735955056179775</v>
      </c>
      <c r="S38" s="204">
        <f t="shared" si="3"/>
        <v>0.6039325842696629</v>
      </c>
      <c r="T38" s="204">
        <f t="shared" si="4"/>
        <v>7.02247191011236E-2</v>
      </c>
      <c r="U38" s="204">
        <f t="shared" si="5"/>
        <v>0.5337078651685393</v>
      </c>
      <c r="V38" s="204">
        <f t="shared" si="6"/>
        <v>0.3061797752808989</v>
      </c>
      <c r="W38" s="204">
        <f t="shared" si="7"/>
        <v>4.2134831460674156E-2</v>
      </c>
      <c r="X38" s="204">
        <f t="shared" si="8"/>
        <v>0.2640449438202247</v>
      </c>
      <c r="Y38" s="204">
        <f t="shared" si="9"/>
        <v>8.7078651685393263E-2</v>
      </c>
      <c r="Z38" s="204">
        <f t="shared" si="10"/>
        <v>1.4044943820224719E-2</v>
      </c>
      <c r="AA38" s="204">
        <f t="shared" si="11"/>
        <v>7.3033707865168537E-2</v>
      </c>
      <c r="AD38" s="204">
        <v>0.27605274351339854</v>
      </c>
      <c r="AE38" s="204">
        <v>0.467204843592331</v>
      </c>
      <c r="AF38" s="204">
        <v>0.44444444444444442</v>
      </c>
      <c r="AG38" s="204">
        <v>0.11688311688311688</v>
      </c>
      <c r="AH38" s="204">
        <v>0.22369905956112854</v>
      </c>
      <c r="AI38" s="204">
        <v>0.23376623376623376</v>
      </c>
      <c r="AJ38" s="204">
        <v>9.2621664050235475E-2</v>
      </c>
      <c r="AK38" s="204">
        <v>0.11536050156739812</v>
      </c>
      <c r="AL38" s="204">
        <v>4.2131661442006273E-2</v>
      </c>
      <c r="AM38" s="204">
        <v>1.2628255722178374E-2</v>
      </c>
      <c r="AN38" s="204">
        <v>2.3476046474614039E-2</v>
      </c>
    </row>
    <row r="39" spans="1:40" ht="12.45" customHeight="1">
      <c r="A39" s="12" t="s">
        <v>326</v>
      </c>
      <c r="B39" s="166">
        <v>509000</v>
      </c>
      <c r="C39" s="9">
        <v>52000</v>
      </c>
      <c r="D39" s="9">
        <v>458000</v>
      </c>
      <c r="E39" s="119">
        <v>308000</v>
      </c>
      <c r="F39" s="9">
        <v>25000</v>
      </c>
      <c r="G39" s="9">
        <v>283000</v>
      </c>
      <c r="H39" s="143">
        <v>151000</v>
      </c>
      <c r="I39" s="9">
        <v>22000</v>
      </c>
      <c r="J39" s="9">
        <v>129000</v>
      </c>
      <c r="K39" s="137">
        <v>50000</v>
      </c>
      <c r="L39" s="9">
        <v>5000</v>
      </c>
      <c r="M39" s="9">
        <v>46000</v>
      </c>
      <c r="N39" s="152" t="s">
        <v>220</v>
      </c>
      <c r="O39" s="13" t="s">
        <v>220</v>
      </c>
      <c r="P39" s="13" t="s">
        <v>220</v>
      </c>
      <c r="Q39" s="204">
        <f t="shared" si="1"/>
        <v>0.10216110019646366</v>
      </c>
      <c r="R39" s="204">
        <f t="shared" si="2"/>
        <v>0.89980353634577603</v>
      </c>
      <c r="S39" s="204">
        <f t="shared" si="3"/>
        <v>0.60510805500982323</v>
      </c>
      <c r="T39" s="204">
        <f t="shared" si="4"/>
        <v>4.9115913555992138E-2</v>
      </c>
      <c r="U39" s="204">
        <f t="shared" si="5"/>
        <v>0.55599214145383102</v>
      </c>
      <c r="V39" s="204">
        <f t="shared" si="6"/>
        <v>0.29666011787819252</v>
      </c>
      <c r="W39" s="204">
        <f t="shared" si="7"/>
        <v>4.3222003929273084E-2</v>
      </c>
      <c r="X39" s="204">
        <f t="shared" si="8"/>
        <v>0.25343811394891946</v>
      </c>
      <c r="Y39" s="204">
        <f t="shared" si="9"/>
        <v>9.8231827111984277E-2</v>
      </c>
      <c r="Z39" s="204">
        <f t="shared" si="10"/>
        <v>9.823182711198428E-3</v>
      </c>
      <c r="AA39" s="204">
        <f t="shared" si="11"/>
        <v>9.0373280943025547E-2</v>
      </c>
      <c r="AD39" s="204">
        <v>0.26487252124645894</v>
      </c>
      <c r="AE39" s="204">
        <v>0.46081287279789152</v>
      </c>
      <c r="AF39" s="204">
        <v>0.44321329639889195</v>
      </c>
      <c r="AG39" s="204">
        <v>0.11654615057422374</v>
      </c>
      <c r="AH39" s="204">
        <v>0.21392532795156408</v>
      </c>
      <c r="AI39" s="204">
        <v>0.23066104078762306</v>
      </c>
      <c r="AJ39" s="204">
        <v>8.9187056037884765E-2</v>
      </c>
      <c r="AK39" s="204">
        <v>0.11530131226907886</v>
      </c>
      <c r="AL39" s="204">
        <v>4.146108546872513E-2</v>
      </c>
      <c r="AM39" s="204">
        <v>1.2257405515832482E-2</v>
      </c>
      <c r="AN39" s="204">
        <v>2.1132713440405747E-2</v>
      </c>
    </row>
    <row r="40" spans="1:40">
      <c r="A40" s="17" t="s">
        <v>175</v>
      </c>
      <c r="B40" s="126">
        <v>7975000</v>
      </c>
      <c r="C40" s="7">
        <v>4380000</v>
      </c>
      <c r="D40" s="7">
        <v>3595000</v>
      </c>
      <c r="E40" s="169">
        <v>4119000</v>
      </c>
      <c r="F40" s="7">
        <v>2335000</v>
      </c>
      <c r="G40" s="7">
        <v>1784000</v>
      </c>
      <c r="H40" s="172">
        <v>2247000</v>
      </c>
      <c r="I40" s="7">
        <v>1327000</v>
      </c>
      <c r="J40" s="7">
        <v>920000</v>
      </c>
      <c r="K40" s="175">
        <v>336000</v>
      </c>
      <c r="L40" s="7">
        <v>171000</v>
      </c>
      <c r="M40" s="7">
        <v>165000</v>
      </c>
      <c r="N40" s="177">
        <v>1273000</v>
      </c>
      <c r="O40" s="7">
        <v>546000</v>
      </c>
      <c r="P40" s="7">
        <v>726000</v>
      </c>
      <c r="Q40" s="204">
        <f>C40/$B40</f>
        <v>0.54921630094043883</v>
      </c>
      <c r="R40" s="204">
        <f t="shared" si="2"/>
        <v>0.45078369905956112</v>
      </c>
      <c r="S40" s="204">
        <f t="shared" si="2"/>
        <v>0.51648902821316611</v>
      </c>
      <c r="T40" s="204">
        <f t="shared" si="2"/>
        <v>0.2927899686520376</v>
      </c>
      <c r="U40" s="204">
        <f t="shared" si="2"/>
        <v>0.22369905956112854</v>
      </c>
      <c r="V40" s="204">
        <f t="shared" si="2"/>
        <v>0.28175548589341692</v>
      </c>
      <c r="W40" s="204">
        <f t="shared" si="2"/>
        <v>0.16639498432601882</v>
      </c>
      <c r="X40" s="204">
        <f t="shared" si="2"/>
        <v>0.11536050156739812</v>
      </c>
      <c r="Y40" s="204">
        <f t="shared" si="2"/>
        <v>4.2131661442006273E-2</v>
      </c>
      <c r="Z40" s="204">
        <f t="shared" si="2"/>
        <v>2.1442006269592476E-2</v>
      </c>
      <c r="AA40" s="204">
        <f>M40/$B40</f>
        <v>2.0689655172413793E-2</v>
      </c>
      <c r="AD40" s="204">
        <v>0.25862068965517243</v>
      </c>
      <c r="AE40" s="204">
        <v>0.45407058223977576</v>
      </c>
      <c r="AF40" s="204">
        <v>0.37662337662337664</v>
      </c>
      <c r="AG40" s="204">
        <v>0.10793650793650794</v>
      </c>
      <c r="AH40" s="204">
        <v>0.2087912087912088</v>
      </c>
      <c r="AI40" s="204">
        <v>0.22797202797202798</v>
      </c>
      <c r="AJ40" s="204">
        <v>8.8642659279778394E-2</v>
      </c>
      <c r="AK40" s="204">
        <v>0.11461931739671134</v>
      </c>
      <c r="AL40" s="204">
        <v>3.8899526352917463E-2</v>
      </c>
      <c r="AM40" s="204">
        <v>1.2008733624454149E-2</v>
      </c>
      <c r="AN40" s="204">
        <v>2.0689655172413793E-2</v>
      </c>
    </row>
    <row r="41" spans="1:40">
      <c r="A41" s="10" t="s">
        <v>323</v>
      </c>
      <c r="B41" s="166">
        <v>1189000</v>
      </c>
      <c r="C41" s="9">
        <v>763000</v>
      </c>
      <c r="D41" s="9">
        <v>426000</v>
      </c>
      <c r="E41" s="119">
        <v>805000</v>
      </c>
      <c r="F41" s="9">
        <v>497000</v>
      </c>
      <c r="G41" s="9">
        <v>309000</v>
      </c>
      <c r="H41" s="143">
        <v>232000</v>
      </c>
      <c r="I41" s="9">
        <v>168000</v>
      </c>
      <c r="J41" s="9">
        <v>64000</v>
      </c>
      <c r="K41" s="137">
        <v>22000</v>
      </c>
      <c r="L41" s="9">
        <v>13000</v>
      </c>
      <c r="M41" s="9">
        <v>9000</v>
      </c>
      <c r="N41" s="104">
        <v>130000</v>
      </c>
      <c r="O41" s="9">
        <v>86000</v>
      </c>
      <c r="P41" s="9">
        <v>44000</v>
      </c>
      <c r="Q41" s="204">
        <f t="shared" ref="Q41:AA49" si="12">C41/$B41</f>
        <v>0.6417157275021026</v>
      </c>
      <c r="R41" s="204">
        <f t="shared" si="12"/>
        <v>0.3582842724978974</v>
      </c>
      <c r="S41" s="204">
        <f t="shared" si="12"/>
        <v>0.67703952901597986</v>
      </c>
      <c r="T41" s="204">
        <f t="shared" si="12"/>
        <v>0.4179983179142136</v>
      </c>
      <c r="U41" s="204">
        <f t="shared" si="12"/>
        <v>0.25988225399495374</v>
      </c>
      <c r="V41" s="204">
        <f t="shared" si="12"/>
        <v>0.1951219512195122</v>
      </c>
      <c r="W41" s="204">
        <f t="shared" si="12"/>
        <v>0.14129520605550883</v>
      </c>
      <c r="X41" s="204">
        <f t="shared" si="12"/>
        <v>5.3826745164003362E-2</v>
      </c>
      <c r="Y41" s="204">
        <f t="shared" si="12"/>
        <v>1.8502943650126155E-2</v>
      </c>
      <c r="Z41" s="204">
        <f t="shared" si="12"/>
        <v>1.0933557611438183E-2</v>
      </c>
      <c r="AA41" s="204">
        <f t="shared" si="12"/>
        <v>7.569386038687973E-3</v>
      </c>
      <c r="AD41" s="204">
        <v>0.2543171114599686</v>
      </c>
      <c r="AE41" s="204">
        <v>0.45110841178256911</v>
      </c>
      <c r="AF41" s="204">
        <v>0.36568213783403658</v>
      </c>
      <c r="AG41" s="204">
        <v>0.10404624277456648</v>
      </c>
      <c r="AH41" s="204">
        <v>0.1940928270042194</v>
      </c>
      <c r="AI41" s="204">
        <v>0.22714681440443213</v>
      </c>
      <c r="AJ41" s="204">
        <v>8.6956521739130432E-2</v>
      </c>
      <c r="AK41" s="204">
        <v>0.11203319502074689</v>
      </c>
      <c r="AL41" s="204">
        <v>3.4482758620689655E-2</v>
      </c>
      <c r="AM41" s="204">
        <v>1.1773940345368918E-2</v>
      </c>
      <c r="AN41" s="204">
        <v>1.3732833957553059E-2</v>
      </c>
    </row>
    <row r="42" spans="1:40">
      <c r="A42" s="10" t="s">
        <v>324</v>
      </c>
      <c r="B42" s="166">
        <v>2366000</v>
      </c>
      <c r="C42" s="9">
        <v>1350000</v>
      </c>
      <c r="D42" s="9">
        <v>1016000</v>
      </c>
      <c r="E42" s="119">
        <v>1136000</v>
      </c>
      <c r="F42" s="9">
        <v>642000</v>
      </c>
      <c r="G42" s="9">
        <v>494000</v>
      </c>
      <c r="H42" s="143">
        <v>696000</v>
      </c>
      <c r="I42" s="9">
        <v>421000</v>
      </c>
      <c r="J42" s="9">
        <v>275000</v>
      </c>
      <c r="K42" s="137">
        <v>103000</v>
      </c>
      <c r="L42" s="9">
        <v>53000</v>
      </c>
      <c r="M42" s="9">
        <v>50000</v>
      </c>
      <c r="N42" s="104">
        <v>431000</v>
      </c>
      <c r="O42" s="9">
        <v>233000</v>
      </c>
      <c r="P42" s="9">
        <v>198000</v>
      </c>
      <c r="Q42" s="204">
        <f t="shared" si="12"/>
        <v>0.57058326289095518</v>
      </c>
      <c r="R42" s="204">
        <f t="shared" si="12"/>
        <v>0.42941673710904482</v>
      </c>
      <c r="S42" s="204">
        <f t="shared" si="12"/>
        <v>0.48013524936601859</v>
      </c>
      <c r="T42" s="204">
        <f t="shared" si="12"/>
        <v>0.27134404057480982</v>
      </c>
      <c r="U42" s="204">
        <f t="shared" si="12"/>
        <v>0.2087912087912088</v>
      </c>
      <c r="V42" s="204">
        <f t="shared" si="12"/>
        <v>0.29416737109044799</v>
      </c>
      <c r="W42" s="204">
        <f t="shared" si="12"/>
        <v>0.17793744716821641</v>
      </c>
      <c r="X42" s="204">
        <f t="shared" si="12"/>
        <v>0.11622992392223161</v>
      </c>
      <c r="Y42" s="204">
        <f t="shared" si="12"/>
        <v>4.3533389687235843E-2</v>
      </c>
      <c r="Z42" s="204">
        <f t="shared" si="12"/>
        <v>2.2400676246830092E-2</v>
      </c>
      <c r="AA42" s="204">
        <f t="shared" si="12"/>
        <v>2.1132713440405747E-2</v>
      </c>
      <c r="AD42" s="204">
        <v>0.24867724867724866</v>
      </c>
      <c r="AE42" s="204">
        <v>0.45078369905956112</v>
      </c>
      <c r="AF42" s="204">
        <v>0.36082474226804123</v>
      </c>
      <c r="AG42" s="204">
        <v>0.10377358490566038</v>
      </c>
      <c r="AH42" s="204">
        <v>0.18390804597701149</v>
      </c>
      <c r="AI42" s="204">
        <v>0.22222222222222221</v>
      </c>
      <c r="AJ42" s="204">
        <v>8.3216783216783219E-2</v>
      </c>
      <c r="AK42" s="204">
        <v>0.1111111111111111</v>
      </c>
      <c r="AL42" s="204">
        <v>2.4691358024691357E-2</v>
      </c>
      <c r="AM42" s="204">
        <v>1.0958524067138299E-2</v>
      </c>
      <c r="AN42" s="204">
        <v>1.329970982451292E-2</v>
      </c>
    </row>
    <row r="43" spans="1:40">
      <c r="A43" s="10" t="s">
        <v>325</v>
      </c>
      <c r="B43" s="166">
        <v>1982000</v>
      </c>
      <c r="C43" s="9">
        <v>1055000</v>
      </c>
      <c r="D43" s="9">
        <v>926000</v>
      </c>
      <c r="E43" s="119">
        <v>937000</v>
      </c>
      <c r="F43" s="9">
        <v>512000</v>
      </c>
      <c r="G43" s="9">
        <v>424000</v>
      </c>
      <c r="H43" s="143">
        <v>617000</v>
      </c>
      <c r="I43" s="9">
        <v>361000</v>
      </c>
      <c r="J43" s="9">
        <v>257000</v>
      </c>
      <c r="K43" s="137">
        <v>99000</v>
      </c>
      <c r="L43" s="9">
        <v>51000</v>
      </c>
      <c r="M43" s="9">
        <v>48000</v>
      </c>
      <c r="N43" s="104">
        <v>329000</v>
      </c>
      <c r="O43" s="9">
        <v>132000</v>
      </c>
      <c r="P43" s="9">
        <v>197000</v>
      </c>
      <c r="Q43" s="204">
        <f t="shared" si="12"/>
        <v>0.53229061553985868</v>
      </c>
      <c r="R43" s="204">
        <f t="shared" si="12"/>
        <v>0.467204843592331</v>
      </c>
      <c r="S43" s="204">
        <f t="shared" si="12"/>
        <v>0.4727547931382442</v>
      </c>
      <c r="T43" s="204">
        <f t="shared" si="12"/>
        <v>0.25832492431886983</v>
      </c>
      <c r="U43" s="204">
        <f t="shared" si="12"/>
        <v>0.21392532795156408</v>
      </c>
      <c r="V43" s="204">
        <f t="shared" si="12"/>
        <v>0.31130171543895058</v>
      </c>
      <c r="W43" s="204">
        <f t="shared" si="12"/>
        <v>0.18213925327951563</v>
      </c>
      <c r="X43" s="204">
        <f t="shared" si="12"/>
        <v>0.12966700302724521</v>
      </c>
      <c r="Y43" s="204">
        <f t="shared" si="12"/>
        <v>4.9949545913218971E-2</v>
      </c>
      <c r="Z43" s="204">
        <f t="shared" si="12"/>
        <v>2.5731584258324926E-2</v>
      </c>
      <c r="AA43" s="204">
        <f t="shared" si="12"/>
        <v>2.4217961654894045E-2</v>
      </c>
      <c r="AD43" s="204">
        <v>0.22651933701657459</v>
      </c>
      <c r="AE43" s="204">
        <v>0.42941673710904482</v>
      </c>
      <c r="AF43" s="204">
        <v>0.31535269709543567</v>
      </c>
      <c r="AG43" s="204">
        <v>9.696969696969697E-2</v>
      </c>
      <c r="AH43" s="204">
        <v>0.18257261410788381</v>
      </c>
      <c r="AI43" s="204">
        <v>0.21529745042492918</v>
      </c>
      <c r="AJ43" s="204">
        <v>7.2332730560578665E-2</v>
      </c>
      <c r="AK43" s="204">
        <v>0.10970464135021098</v>
      </c>
      <c r="AL43" s="204">
        <v>2.3352217769794112E-2</v>
      </c>
      <c r="AM43" s="204">
        <v>1.0933557611438183E-2</v>
      </c>
      <c r="AN43" s="204">
        <v>1.2587412587412588E-2</v>
      </c>
    </row>
    <row r="44" spans="1:40">
      <c r="A44" s="10" t="s">
        <v>326</v>
      </c>
      <c r="B44" s="166">
        <v>2438000</v>
      </c>
      <c r="C44" s="9">
        <v>1211000</v>
      </c>
      <c r="D44" s="9">
        <v>1227000</v>
      </c>
      <c r="E44" s="119">
        <v>1241000</v>
      </c>
      <c r="F44" s="9">
        <v>684000</v>
      </c>
      <c r="G44" s="9">
        <v>557000</v>
      </c>
      <c r="H44" s="143">
        <v>702000</v>
      </c>
      <c r="I44" s="9">
        <v>378000</v>
      </c>
      <c r="J44" s="9">
        <v>324000</v>
      </c>
      <c r="K44" s="137">
        <v>113000</v>
      </c>
      <c r="L44" s="9">
        <v>54000</v>
      </c>
      <c r="M44" s="9">
        <v>59000</v>
      </c>
      <c r="N44" s="104">
        <v>383000</v>
      </c>
      <c r="O44" s="9">
        <v>96000</v>
      </c>
      <c r="P44" s="9">
        <v>287000</v>
      </c>
      <c r="Q44" s="204">
        <f t="shared" si="12"/>
        <v>0.49671862182116489</v>
      </c>
      <c r="R44" s="204">
        <f t="shared" si="12"/>
        <v>0.50328137817883511</v>
      </c>
      <c r="S44" s="204">
        <f t="shared" si="12"/>
        <v>0.50902378999179654</v>
      </c>
      <c r="T44" s="204">
        <f t="shared" si="12"/>
        <v>0.28055783429040199</v>
      </c>
      <c r="U44" s="204">
        <f t="shared" si="12"/>
        <v>0.22846595570139458</v>
      </c>
      <c r="V44" s="204">
        <f t="shared" si="12"/>
        <v>0.28794093519278097</v>
      </c>
      <c r="W44" s="204">
        <f t="shared" si="12"/>
        <v>0.15504511894995898</v>
      </c>
      <c r="X44" s="204">
        <f t="shared" si="12"/>
        <v>0.13289581624282198</v>
      </c>
      <c r="Y44" s="204">
        <f t="shared" si="12"/>
        <v>4.6349466776045942E-2</v>
      </c>
      <c r="Z44" s="204">
        <f t="shared" si="12"/>
        <v>2.2149302707136997E-2</v>
      </c>
      <c r="AA44" s="204">
        <f t="shared" si="12"/>
        <v>2.4200164068908941E-2</v>
      </c>
      <c r="AD44" s="204">
        <v>0.22222222222222221</v>
      </c>
      <c r="AE44" s="204">
        <v>0.40476190476190477</v>
      </c>
      <c r="AF44" s="204">
        <v>0.28476821192052981</v>
      </c>
      <c r="AG44" s="204">
        <v>9.1157205240174677E-2</v>
      </c>
      <c r="AH44" s="204">
        <v>0.14569536423841059</v>
      </c>
      <c r="AI44" s="204">
        <v>0.20618556701030927</v>
      </c>
      <c r="AJ44" s="204">
        <v>7.2237960339943341E-2</v>
      </c>
      <c r="AK44" s="204">
        <v>0.10377358490566038</v>
      </c>
      <c r="AL44" s="204">
        <v>2.097902097902098E-2</v>
      </c>
      <c r="AM44" s="204">
        <v>1.0052507945281194E-2</v>
      </c>
      <c r="AN44" s="204">
        <v>1.1494252873563218E-2</v>
      </c>
    </row>
    <row r="45" spans="1:40">
      <c r="A45" s="8" t="s">
        <v>176</v>
      </c>
      <c r="B45" s="166">
        <v>28948000</v>
      </c>
      <c r="C45" s="9">
        <v>15216000</v>
      </c>
      <c r="D45" s="9">
        <v>13732000</v>
      </c>
      <c r="E45" s="119">
        <v>18611000</v>
      </c>
      <c r="F45" s="9">
        <v>9339000</v>
      </c>
      <c r="G45" s="9">
        <v>9271000</v>
      </c>
      <c r="H45" s="143">
        <v>8274000</v>
      </c>
      <c r="I45" s="9">
        <v>4956000</v>
      </c>
      <c r="J45" s="9">
        <v>3318000</v>
      </c>
      <c r="K45" s="137">
        <v>676000</v>
      </c>
      <c r="L45" s="9">
        <v>291000</v>
      </c>
      <c r="M45" s="9">
        <v>385000</v>
      </c>
      <c r="N45" s="104">
        <v>1387000</v>
      </c>
      <c r="O45" s="9">
        <v>630000</v>
      </c>
      <c r="P45" s="9">
        <v>758000</v>
      </c>
      <c r="Q45" s="204">
        <f t="shared" si="12"/>
        <v>0.5256321680254249</v>
      </c>
      <c r="R45" s="204">
        <f t="shared" si="12"/>
        <v>0.4743678319745751</v>
      </c>
      <c r="S45" s="204">
        <f t="shared" si="12"/>
        <v>0.64291142738703888</v>
      </c>
      <c r="T45" s="204">
        <f t="shared" si="12"/>
        <v>0.32261296117175625</v>
      </c>
      <c r="U45" s="204">
        <f t="shared" si="12"/>
        <v>0.32026392151443966</v>
      </c>
      <c r="V45" s="204">
        <f t="shared" si="12"/>
        <v>0.28582285477407765</v>
      </c>
      <c r="W45" s="204">
        <f t="shared" si="12"/>
        <v>0.17120353737736632</v>
      </c>
      <c r="X45" s="204">
        <f t="shared" si="12"/>
        <v>0.11461931739671134</v>
      </c>
      <c r="Y45" s="204">
        <f t="shared" si="12"/>
        <v>2.3352217769794112E-2</v>
      </c>
      <c r="Z45" s="204">
        <f t="shared" si="12"/>
        <v>1.0052507945281194E-2</v>
      </c>
      <c r="AA45" s="204">
        <f t="shared" si="12"/>
        <v>1.329970982451292E-2</v>
      </c>
      <c r="AD45" s="204">
        <v>0.17359855334538879</v>
      </c>
      <c r="AE45" s="204">
        <v>0.39324426518779937</v>
      </c>
      <c r="AF45" s="204">
        <v>0.23030303030303031</v>
      </c>
      <c r="AG45" s="204">
        <v>7.956600361663653E-2</v>
      </c>
      <c r="AH45" s="204">
        <v>0.13333333333333333</v>
      </c>
      <c r="AI45" s="204">
        <v>0.20531400966183574</v>
      </c>
      <c r="AJ45" s="204">
        <v>5.1310043668122272E-2</v>
      </c>
      <c r="AK45" s="204">
        <v>0.10344827586206896</v>
      </c>
      <c r="AL45" s="204">
        <v>1.8502943650126155E-2</v>
      </c>
      <c r="AM45" s="204">
        <v>9.823182711198428E-3</v>
      </c>
      <c r="AN45" s="204">
        <v>7.569386038687973E-3</v>
      </c>
    </row>
    <row r="46" spans="1:40">
      <c r="A46" s="10" t="s">
        <v>323</v>
      </c>
      <c r="B46" s="166">
        <v>3967000</v>
      </c>
      <c r="C46" s="9">
        <v>2408000</v>
      </c>
      <c r="D46" s="9">
        <v>1560000</v>
      </c>
      <c r="E46" s="119">
        <v>3106000</v>
      </c>
      <c r="F46" s="9">
        <v>1806000</v>
      </c>
      <c r="G46" s="9">
        <v>1299000</v>
      </c>
      <c r="H46" s="143">
        <v>740000</v>
      </c>
      <c r="I46" s="9">
        <v>528000</v>
      </c>
      <c r="J46" s="9">
        <v>212000</v>
      </c>
      <c r="K46" s="159" t="s">
        <v>191</v>
      </c>
      <c r="L46" s="13" t="s">
        <v>191</v>
      </c>
      <c r="M46" s="13" t="s">
        <v>191</v>
      </c>
      <c r="N46" s="104">
        <v>116000</v>
      </c>
      <c r="O46" s="9">
        <v>70000</v>
      </c>
      <c r="P46" s="9">
        <v>46000</v>
      </c>
      <c r="Q46" s="204">
        <f t="shared" si="12"/>
        <v>0.60700781446937235</v>
      </c>
      <c r="R46" s="204">
        <f t="shared" si="12"/>
        <v>0.39324426518779937</v>
      </c>
      <c r="S46" s="204">
        <f t="shared" si="12"/>
        <v>0.78295941517519541</v>
      </c>
      <c r="T46" s="204">
        <f t="shared" si="12"/>
        <v>0.45525586085202924</v>
      </c>
      <c r="U46" s="204">
        <f t="shared" si="12"/>
        <v>0.32745147466599445</v>
      </c>
      <c r="V46" s="204">
        <f t="shared" si="12"/>
        <v>0.18653894630703302</v>
      </c>
      <c r="W46" s="204">
        <f t="shared" si="12"/>
        <v>0.13309805898663979</v>
      </c>
      <c r="X46" s="204">
        <f t="shared" si="12"/>
        <v>5.3440887320393246E-2</v>
      </c>
      <c r="Y46" s="204" t="e">
        <f t="shared" si="12"/>
        <v>#VALUE!</v>
      </c>
      <c r="Z46" s="204" t="e">
        <f t="shared" si="12"/>
        <v>#VALUE!</v>
      </c>
      <c r="AA46" s="204" t="e">
        <f t="shared" si="12"/>
        <v>#VALUE!</v>
      </c>
      <c r="AD46" s="204">
        <v>0.16494845360824742</v>
      </c>
      <c r="AE46" s="204">
        <v>0.38150289017341038</v>
      </c>
      <c r="AF46" s="204">
        <v>0.22420634920634921</v>
      </c>
      <c r="AG46" s="204">
        <v>7.2164948453608241E-2</v>
      </c>
      <c r="AH46" s="204">
        <v>9.1269841269841265E-2</v>
      </c>
      <c r="AI46" s="204">
        <v>0.19708472517461281</v>
      </c>
      <c r="AJ46" s="204">
        <v>4.3478260869565216E-2</v>
      </c>
      <c r="AK46" s="204">
        <v>7.3489219556635288E-2</v>
      </c>
      <c r="AL46" s="204">
        <v>1.3632309848388331E-2</v>
      </c>
      <c r="AM46" s="204">
        <v>8.3916083916083916E-3</v>
      </c>
      <c r="AN46" s="204">
        <v>7.246376811594203E-3</v>
      </c>
    </row>
    <row r="47" spans="1:40">
      <c r="A47" s="10" t="s">
        <v>324</v>
      </c>
      <c r="B47" s="166">
        <v>7849000</v>
      </c>
      <c r="C47" s="9">
        <v>4284000</v>
      </c>
      <c r="D47" s="9">
        <v>3564000</v>
      </c>
      <c r="E47" s="119">
        <v>5065000</v>
      </c>
      <c r="F47" s="9">
        <v>2617000</v>
      </c>
      <c r="G47" s="9">
        <v>2448000</v>
      </c>
      <c r="H47" s="143">
        <v>2339000</v>
      </c>
      <c r="I47" s="9">
        <v>1434000</v>
      </c>
      <c r="J47" s="9">
        <v>905000</v>
      </c>
      <c r="K47" s="137">
        <v>107000</v>
      </c>
      <c r="L47" s="9">
        <v>55000</v>
      </c>
      <c r="M47" s="9">
        <v>52000</v>
      </c>
      <c r="N47" s="104">
        <v>338000</v>
      </c>
      <c r="O47" s="9">
        <v>179000</v>
      </c>
      <c r="P47" s="9">
        <v>159000</v>
      </c>
      <c r="Q47" s="204">
        <f t="shared" si="12"/>
        <v>0.54580201299528608</v>
      </c>
      <c r="R47" s="204">
        <f t="shared" si="12"/>
        <v>0.45407058223977576</v>
      </c>
      <c r="S47" s="204">
        <f t="shared" si="12"/>
        <v>0.64530513441202697</v>
      </c>
      <c r="T47" s="204">
        <f t="shared" si="12"/>
        <v>0.33341826984329215</v>
      </c>
      <c r="U47" s="204">
        <f t="shared" si="12"/>
        <v>0.31188686456873488</v>
      </c>
      <c r="V47" s="204">
        <f t="shared" si="12"/>
        <v>0.29799974519047012</v>
      </c>
      <c r="W47" s="204">
        <f t="shared" si="12"/>
        <v>0.18269843292139126</v>
      </c>
      <c r="X47" s="204">
        <f t="shared" si="12"/>
        <v>0.11530131226907886</v>
      </c>
      <c r="Y47" s="204">
        <f t="shared" si="12"/>
        <v>1.3632309848388331E-2</v>
      </c>
      <c r="Z47" s="204">
        <f t="shared" si="12"/>
        <v>7.0072620716014776E-3</v>
      </c>
      <c r="AA47" s="204">
        <f t="shared" si="12"/>
        <v>6.6250477767868521E-3</v>
      </c>
      <c r="AD47" s="204">
        <v>0.15502183406113537</v>
      </c>
      <c r="AE47" s="204">
        <v>0.3582842724978974</v>
      </c>
      <c r="AF47" s="204">
        <v>0.17924528301886791</v>
      </c>
      <c r="AG47" s="204">
        <v>7.02247191011236E-2</v>
      </c>
      <c r="AH47" s="204">
        <v>8.6956521739130432E-2</v>
      </c>
      <c r="AI47" s="204">
        <v>0.1951219512195122</v>
      </c>
      <c r="AJ47" s="204">
        <v>4.3222003929273084E-2</v>
      </c>
      <c r="AK47" s="204">
        <v>5.9602649006622516E-2</v>
      </c>
      <c r="AL47" s="204">
        <v>9.6618357487922701E-3</v>
      </c>
      <c r="AM47" s="204">
        <v>7.0072620716014776E-3</v>
      </c>
      <c r="AN47" s="204">
        <v>7.0821529745042494E-3</v>
      </c>
    </row>
    <row r="48" spans="1:40">
      <c r="A48" s="10" t="s">
        <v>325</v>
      </c>
      <c r="B48" s="166">
        <v>7209000</v>
      </c>
      <c r="C48" s="9">
        <v>3888000</v>
      </c>
      <c r="D48" s="9">
        <v>3322000</v>
      </c>
      <c r="E48" s="119">
        <v>4217000</v>
      </c>
      <c r="F48" s="9">
        <v>2121000</v>
      </c>
      <c r="G48" s="9">
        <v>2096000</v>
      </c>
      <c r="H48" s="143">
        <v>2439000</v>
      </c>
      <c r="I48" s="9">
        <v>1479000</v>
      </c>
      <c r="J48" s="9">
        <v>960000</v>
      </c>
      <c r="K48" s="137">
        <v>178000</v>
      </c>
      <c r="L48" s="9">
        <v>79000</v>
      </c>
      <c r="M48" s="9">
        <v>99000</v>
      </c>
      <c r="N48" s="104">
        <v>375000</v>
      </c>
      <c r="O48" s="9">
        <v>209000</v>
      </c>
      <c r="P48" s="9">
        <v>167000</v>
      </c>
      <c r="Q48" s="204">
        <f t="shared" si="12"/>
        <v>0.5393258426966292</v>
      </c>
      <c r="R48" s="204">
        <f t="shared" si="12"/>
        <v>0.46081287279789152</v>
      </c>
      <c r="S48" s="204">
        <f t="shared" si="12"/>
        <v>0.58496324039395198</v>
      </c>
      <c r="T48" s="204">
        <f t="shared" si="12"/>
        <v>0.29421556387848524</v>
      </c>
      <c r="U48" s="204">
        <f t="shared" si="12"/>
        <v>0.29074767651546679</v>
      </c>
      <c r="V48" s="204">
        <f t="shared" si="12"/>
        <v>0.33832709113607989</v>
      </c>
      <c r="W48" s="204">
        <f t="shared" si="12"/>
        <v>0.20516021639617146</v>
      </c>
      <c r="X48" s="204">
        <f t="shared" si="12"/>
        <v>0.13316687473990846</v>
      </c>
      <c r="Y48" s="204">
        <f t="shared" si="12"/>
        <v>2.4691358024691357E-2</v>
      </c>
      <c r="Z48" s="204">
        <f t="shared" si="12"/>
        <v>1.0958524067138299E-2</v>
      </c>
      <c r="AA48" s="204">
        <f t="shared" si="12"/>
        <v>1.3732833957553059E-2</v>
      </c>
      <c r="AD48" s="204">
        <v>0.12640449438202248</v>
      </c>
      <c r="AE48" s="204">
        <v>0.34905660377358488</v>
      </c>
      <c r="AF48" s="204">
        <v>0.16763005780346821</v>
      </c>
      <c r="AG48" s="204">
        <v>4.9115913555992138E-2</v>
      </c>
      <c r="AH48" s="204">
        <v>6.6037735849056603E-2</v>
      </c>
      <c r="AI48" s="204">
        <v>0.18653894630703302</v>
      </c>
      <c r="AJ48" s="204">
        <v>4.2134831460674156E-2</v>
      </c>
      <c r="AK48" s="204">
        <v>5.3826745164003362E-2</v>
      </c>
      <c r="AL48" s="204">
        <v>8.8065593683571211E-3</v>
      </c>
      <c r="AM48" s="204">
        <v>4.4032796841785606E-3</v>
      </c>
      <c r="AN48" s="204">
        <v>6.6250477767868521E-3</v>
      </c>
    </row>
    <row r="49" spans="1:40">
      <c r="A49" s="20" t="s">
        <v>326</v>
      </c>
      <c r="B49" s="182">
        <v>9923000</v>
      </c>
      <c r="C49" s="21">
        <v>4637000</v>
      </c>
      <c r="D49" s="21">
        <v>5286000</v>
      </c>
      <c r="E49" s="181">
        <v>6222000</v>
      </c>
      <c r="F49" s="21">
        <v>2795000</v>
      </c>
      <c r="G49" s="21">
        <v>3428000</v>
      </c>
      <c r="H49" s="179">
        <v>2757000</v>
      </c>
      <c r="I49" s="21">
        <v>1516000</v>
      </c>
      <c r="J49" s="21">
        <v>1240000</v>
      </c>
      <c r="K49" s="180">
        <v>386000</v>
      </c>
      <c r="L49" s="21">
        <v>153000</v>
      </c>
      <c r="M49" s="21">
        <v>233000</v>
      </c>
      <c r="N49" s="178">
        <v>558000</v>
      </c>
      <c r="O49" s="21">
        <v>172000</v>
      </c>
      <c r="P49" s="21">
        <v>386000</v>
      </c>
      <c r="Q49" s="204">
        <f t="shared" si="12"/>
        <v>0.46729819611004736</v>
      </c>
      <c r="R49" s="204">
        <f t="shared" si="12"/>
        <v>0.53270180388995259</v>
      </c>
      <c r="S49" s="204">
        <f t="shared" si="12"/>
        <v>0.62702811649702705</v>
      </c>
      <c r="T49" s="204">
        <f t="shared" si="12"/>
        <v>0.28166885014612514</v>
      </c>
      <c r="U49" s="204">
        <f t="shared" si="12"/>
        <v>0.34546004232590949</v>
      </c>
      <c r="V49" s="204">
        <f t="shared" si="12"/>
        <v>0.27783936309583795</v>
      </c>
      <c r="W49" s="204">
        <f t="shared" si="12"/>
        <v>0.15277637811145822</v>
      </c>
      <c r="X49" s="204">
        <f t="shared" si="12"/>
        <v>0.12496220900937216</v>
      </c>
      <c r="Y49" s="204">
        <f t="shared" si="12"/>
        <v>3.8899526352917463E-2</v>
      </c>
      <c r="Z49" s="204">
        <f t="shared" si="12"/>
        <v>1.5418724176156404E-2</v>
      </c>
      <c r="AA49" s="204">
        <f t="shared" si="12"/>
        <v>2.3480802176761059E-2</v>
      </c>
      <c r="AD49" s="204">
        <v>0.10216110019646366</v>
      </c>
      <c r="AE49" s="204">
        <v>0.2988505747126437</v>
      </c>
      <c r="AF49" s="204">
        <v>0.13043478260869565</v>
      </c>
      <c r="AG49" s="204">
        <v>4.3478260869565216E-2</v>
      </c>
      <c r="AH49" s="204">
        <v>6.358381502890173E-2</v>
      </c>
      <c r="AI49" s="204">
        <v>0.17880794701986755</v>
      </c>
      <c r="AJ49" s="204">
        <v>4.1237113402061855E-2</v>
      </c>
      <c r="AK49" s="204">
        <v>5.3440887320393246E-2</v>
      </c>
      <c r="AL49" s="204">
        <v>8.4985835694051E-3</v>
      </c>
      <c r="AM49" s="204">
        <v>2.4154589371980675E-3</v>
      </c>
      <c r="AN49" s="204">
        <v>4.4032796841785606E-3</v>
      </c>
    </row>
    <row r="50" spans="1:40">
      <c r="A50" s="344" t="s">
        <v>224</v>
      </c>
      <c r="B50" s="344"/>
      <c r="C50" s="344"/>
      <c r="D50" s="344"/>
      <c r="E50" s="344"/>
      <c r="F50" s="344"/>
      <c r="G50" s="344"/>
      <c r="H50" s="344"/>
      <c r="I50" s="344"/>
      <c r="J50" s="344"/>
      <c r="K50" s="344"/>
      <c r="L50" s="344"/>
      <c r="M50" s="344"/>
      <c r="N50" s="344"/>
      <c r="O50" s="344"/>
      <c r="P50" s="344"/>
      <c r="Q50" s="344"/>
    </row>
    <row r="51" spans="1:40">
      <c r="A51" s="321" t="s">
        <v>327</v>
      </c>
      <c r="B51" s="321"/>
      <c r="C51" s="321"/>
      <c r="D51" s="321"/>
      <c r="E51" s="321"/>
      <c r="F51" s="321"/>
      <c r="G51" s="321"/>
      <c r="H51" s="321"/>
      <c r="I51" s="321"/>
      <c r="J51" s="321"/>
      <c r="K51" s="321"/>
      <c r="L51" s="321"/>
      <c r="M51" s="321"/>
      <c r="N51" s="321"/>
      <c r="O51" s="321"/>
      <c r="P51" s="321"/>
      <c r="Q51" s="321"/>
    </row>
    <row r="54" spans="1:40">
      <c r="Q54" s="342" t="s">
        <v>287</v>
      </c>
      <c r="R54" s="343" t="s">
        <v>288</v>
      </c>
      <c r="S54" s="319" t="s">
        <v>313</v>
      </c>
      <c r="T54" s="319" t="s">
        <v>314</v>
      </c>
      <c r="U54" s="319" t="s">
        <v>315</v>
      </c>
      <c r="V54" s="319" t="s">
        <v>316</v>
      </c>
      <c r="W54" s="319" t="s">
        <v>317</v>
      </c>
      <c r="X54" s="319" t="s">
        <v>318</v>
      </c>
      <c r="Y54" s="319" t="s">
        <v>319</v>
      </c>
      <c r="Z54" s="319" t="s">
        <v>320</v>
      </c>
      <c r="AA54" s="319" t="s">
        <v>321</v>
      </c>
    </row>
    <row r="55" spans="1:40">
      <c r="Q55" s="342"/>
      <c r="R55" s="343"/>
      <c r="S55" s="319"/>
      <c r="T55" s="319"/>
      <c r="U55" s="319"/>
      <c r="V55" s="319"/>
      <c r="W55" s="319"/>
      <c r="X55" s="319"/>
      <c r="Y55" s="319"/>
      <c r="Z55" s="319"/>
      <c r="AA55" s="319"/>
    </row>
    <row r="56" spans="1:40">
      <c r="Q56" s="204">
        <v>0.48907209023169435</v>
      </c>
      <c r="R56" s="204">
        <f>-51.0927909768306%</f>
        <v>-0.51092790976830604</v>
      </c>
      <c r="S56" s="204">
        <v>0.60883745158879354</v>
      </c>
      <c r="T56" s="204">
        <v>0.28654904536498088</v>
      </c>
      <c r="U56" s="204">
        <v>0.32226575770615812</v>
      </c>
      <c r="V56" s="204">
        <v>0.28691142164745315</v>
      </c>
      <c r="W56" s="204">
        <v>0.15795076212261908</v>
      </c>
      <c r="X56" s="204">
        <v>0.12898330804248861</v>
      </c>
      <c r="Y56" s="204">
        <f>-4.25112676375331%</f>
        <v>-4.2511267637533094E-2</v>
      </c>
      <c r="Z56" s="204">
        <f>-1.71675763821258%</f>
        <v>-1.71675763821258E-2</v>
      </c>
      <c r="AA56" s="204">
        <f>-2.53436912554073%</f>
        <v>-2.5343691255407301E-2</v>
      </c>
    </row>
    <row r="57" spans="1:40">
      <c r="Q57" s="204">
        <v>0.54889158821743089</v>
      </c>
      <c r="R57" s="204">
        <f>-45.1108411782569%</f>
        <v>-0.451108411782569</v>
      </c>
      <c r="S57" s="204">
        <v>0.7564530822957789</v>
      </c>
      <c r="T57" s="204">
        <v>0.39705435772851505</v>
      </c>
      <c r="U57" s="204">
        <v>0.35939872456726391</v>
      </c>
      <c r="V57" s="204">
        <f>-19.7084725174613%</f>
        <v>-0.19708472517461298</v>
      </c>
      <c r="W57" s="204">
        <v>0.12359550561797752</v>
      </c>
      <c r="X57" s="204">
        <f>-7.34892195566353%</f>
        <v>-7.3489219556635302E-2</v>
      </c>
      <c r="Y57" s="204">
        <f>-0.880655936835712%</f>
        <v>-8.8065593683571194E-3</v>
      </c>
      <c r="Z57" s="204">
        <f>-0.440327968417856%</f>
        <v>-4.4032796841785597E-3</v>
      </c>
      <c r="AA57" s="204">
        <f>-0.440327968417856%</f>
        <v>-4.4032796841785597E-3</v>
      </c>
    </row>
    <row r="58" spans="1:40">
      <c r="Q58" s="204">
        <v>0.500079579818558</v>
      </c>
      <c r="R58" s="204">
        <f>-49.9920420181442%</f>
        <v>-0.49992042018144195</v>
      </c>
      <c r="S58" s="204">
        <v>0.59398376571701417</v>
      </c>
      <c r="T58" s="204">
        <v>0.28115549896546238</v>
      </c>
      <c r="U58" s="204">
        <v>0.31282826675155179</v>
      </c>
      <c r="V58" s="204">
        <v>0.30168709215342987</v>
      </c>
      <c r="W58" s="204">
        <v>0.16727677860894477</v>
      </c>
      <c r="X58" s="204">
        <v>0.13441031354448513</v>
      </c>
      <c r="Y58" s="204">
        <f>-4.14610854687251%</f>
        <v>-4.1461085468725095E-2</v>
      </c>
      <c r="Z58" s="204">
        <f>-1.79850389941111%</f>
        <v>-1.7985038994111101E-2</v>
      </c>
      <c r="AA58" s="204">
        <f>-2.3476046474614%</f>
        <v>-2.3476046474614001E-2</v>
      </c>
    </row>
    <row r="59" spans="1:40">
      <c r="Q59" s="204">
        <v>0.50027906976744185</v>
      </c>
      <c r="R59" s="204">
        <f>-49.9813953488372%</f>
        <v>-0.49981395348837199</v>
      </c>
      <c r="S59" s="204">
        <v>0.55693023255813956</v>
      </c>
      <c r="T59" s="204">
        <v>0.26241860465116279</v>
      </c>
      <c r="U59" s="204">
        <f>-29.4511627906977%</f>
        <v>-0.29451162790697699</v>
      </c>
      <c r="V59" s="204">
        <v>0.32874418604651162</v>
      </c>
      <c r="W59" s="204">
        <v>0.18483720930232558</v>
      </c>
      <c r="X59" s="204">
        <v>0.14390697674418604</v>
      </c>
      <c r="Y59" s="204">
        <f>-4.72558139534884%</f>
        <v>-4.72558139534884E-2</v>
      </c>
      <c r="Z59" s="204">
        <f>-2.0093023255814%</f>
        <v>-2.0093023255814E-2</v>
      </c>
      <c r="AA59" s="204">
        <f>-2.70697674418605%</f>
        <v>-2.7069767441860501E-2</v>
      </c>
    </row>
    <row r="60" spans="1:40">
      <c r="Q60" s="204">
        <v>0.44326713914812993</v>
      </c>
      <c r="R60" s="204">
        <v>0.55666269033752014</v>
      </c>
      <c r="S60" s="204">
        <v>0.59287067574205321</v>
      </c>
      <c r="T60" s="204">
        <v>0.2584380043505719</v>
      </c>
      <c r="U60" s="204">
        <v>0.33443267139148131</v>
      </c>
      <c r="V60" s="204">
        <v>0.28383973054522488</v>
      </c>
      <c r="W60" s="204">
        <v>0.14525296470423127</v>
      </c>
      <c r="X60" s="204">
        <v>0.13858676584099361</v>
      </c>
      <c r="Y60" s="204">
        <f>-5.55048768507473%</f>
        <v>-5.5504876850747301E-2</v>
      </c>
      <c r="Z60" s="204">
        <f>-2.01389376184127%</f>
        <v>-2.0138937618412699E-2</v>
      </c>
      <c r="AA60" s="204">
        <f>-3.53659392323346%</f>
        <v>-3.5365939232334595E-2</v>
      </c>
    </row>
    <row r="61" spans="1:40">
      <c r="Q61" s="204">
        <f>-27.6348547717842%</f>
        <v>-0.27634854771784201</v>
      </c>
      <c r="R61" s="204">
        <v>0.72365145228215766</v>
      </c>
      <c r="S61" s="204">
        <v>0.57427385892116178</v>
      </c>
      <c r="T61" s="204">
        <f>-13.5269709543568%</f>
        <v>-0.13526970954356801</v>
      </c>
      <c r="U61" s="204">
        <v>0.43900414937759336</v>
      </c>
      <c r="V61" s="204">
        <v>0.2970954356846473</v>
      </c>
      <c r="W61" s="204">
        <f>-9.54356846473029%</f>
        <v>-9.5435684647302899E-2</v>
      </c>
      <c r="X61" s="204">
        <v>0.2016597510373444</v>
      </c>
      <c r="Y61" s="204">
        <v>0.11964038727524205</v>
      </c>
      <c r="Z61" s="204">
        <v>4.0940525587828493E-2</v>
      </c>
      <c r="AA61" s="204">
        <v>7.8699861687413553E-2</v>
      </c>
    </row>
    <row r="62" spans="1:40">
      <c r="Q62" s="204">
        <f>-31.0489510489511%</f>
        <v>-0.31048951048951101</v>
      </c>
      <c r="R62" s="204">
        <v>0.68951048951048954</v>
      </c>
      <c r="S62" s="204">
        <v>0.74895104895104891</v>
      </c>
      <c r="T62" s="204">
        <v>0.21818181818181817</v>
      </c>
      <c r="U62" s="204">
        <v>0.53076923076923077</v>
      </c>
      <c r="V62" s="204">
        <f>-22.7972027972028%</f>
        <v>-0.22797202797202801</v>
      </c>
      <c r="W62" s="204">
        <f>-8.32167832167832%</f>
        <v>-8.3216783216783205E-2</v>
      </c>
      <c r="X62" s="204">
        <v>0.14475524475524476</v>
      </c>
      <c r="Y62" s="204">
        <f>-2.0979020979021%</f>
        <v>-2.0979020979021001E-2</v>
      </c>
      <c r="Z62" s="204">
        <f>-0.839160839160839%</f>
        <v>-8.3916083916083899E-3</v>
      </c>
      <c r="AA62" s="204">
        <f>-1.25874125874126%</f>
        <v>-1.25874125874126E-2</v>
      </c>
    </row>
    <row r="63" spans="1:40">
      <c r="Q63" s="204">
        <f>-27.6052743513399%</f>
        <v>-0.27605274351339903</v>
      </c>
      <c r="R63" s="204">
        <v>0.72394725648660141</v>
      </c>
      <c r="S63" s="204">
        <v>0.53679285410463629</v>
      </c>
      <c r="T63" s="204">
        <f>-11.6546150574224%</f>
        <v>-0.116546150574224</v>
      </c>
      <c r="U63" s="204">
        <v>0.42067205444491707</v>
      </c>
      <c r="V63" s="204">
        <v>0.32199064227988089</v>
      </c>
      <c r="W63" s="204">
        <f>-10.5061675882603%</f>
        <v>-0.10506167588260301</v>
      </c>
      <c r="X63" s="204">
        <v>0.21650361548277328</v>
      </c>
      <c r="Y63" s="204">
        <v>0.13228413441088899</v>
      </c>
      <c r="Z63" s="204">
        <v>4.9766056997022544E-2</v>
      </c>
      <c r="AA63" s="204">
        <v>8.2518077413866436E-2</v>
      </c>
    </row>
    <row r="64" spans="1:40">
      <c r="Q64" s="204">
        <f>-27.8846153846154%</f>
        <v>-0.27884615384615402</v>
      </c>
      <c r="R64" s="204">
        <v>0.72115384615384615</v>
      </c>
      <c r="S64" s="204">
        <v>0.53397435897435896</v>
      </c>
      <c r="T64" s="204">
        <f>-12.0512820512821%</f>
        <v>-0.12051282051282101</v>
      </c>
      <c r="U64" s="204">
        <v>0.41346153846153844</v>
      </c>
      <c r="V64" s="204">
        <v>0.30641025641025643</v>
      </c>
      <c r="W64" s="204">
        <f>-9.48717948717949%</f>
        <v>-9.4871794871794909E-2</v>
      </c>
      <c r="X64" s="204">
        <v>0.21153846153846154</v>
      </c>
      <c r="Y64" s="204">
        <v>0.14807692307692308</v>
      </c>
      <c r="Z64" s="204">
        <v>5.5128205128205127E-2</v>
      </c>
      <c r="AA64" s="204">
        <v>9.2307692307692313E-2</v>
      </c>
    </row>
    <row r="65" spans="17:27">
      <c r="Q65" s="204">
        <f>-24.8677248677249%</f>
        <v>-0.248677248677249</v>
      </c>
      <c r="R65" s="204">
        <v>0.75132275132275128</v>
      </c>
      <c r="S65" s="204">
        <v>0.52169312169312165</v>
      </c>
      <c r="T65" s="204">
        <f>-10.7936507936508%</f>
        <v>-0.107936507936508</v>
      </c>
      <c r="U65" s="204">
        <v>0.41322751322751322</v>
      </c>
      <c r="V65" s="204">
        <v>0.31058201058201057</v>
      </c>
      <c r="W65" s="204">
        <f>-9.31216931216931%</f>
        <v>-9.3121693121693105E-2</v>
      </c>
      <c r="X65" s="204">
        <v>0.21746031746031746</v>
      </c>
      <c r="Y65" s="204">
        <v>0.15449735449735449</v>
      </c>
      <c r="Z65" s="204">
        <v>4.2328042328042326E-2</v>
      </c>
      <c r="AA65" s="204">
        <v>0.11216931216931217</v>
      </c>
    </row>
    <row r="66" spans="17:27">
      <c r="Q66" s="204">
        <v>0.45850914205344584</v>
      </c>
      <c r="R66" s="204">
        <v>0.54149085794655416</v>
      </c>
      <c r="S66" s="204">
        <f>-36.5682137834037%</f>
        <v>-0.36568213783403697</v>
      </c>
      <c r="T66" s="204">
        <v>0.17018284106891701</v>
      </c>
      <c r="U66" s="204">
        <f>-19.4092827004219%</f>
        <v>-0.19409282700421901</v>
      </c>
      <c r="V66" s="204">
        <f>-23.0661040787623%</f>
        <v>-0.23066104078762301</v>
      </c>
      <c r="W66" s="204">
        <v>0.1209563994374121</v>
      </c>
      <c r="X66" s="204">
        <f>-10.9704641350211%</f>
        <v>-0.109704641350211</v>
      </c>
      <c r="Y66" s="204">
        <v>0.37834036568213786</v>
      </c>
      <c r="Z66" s="204">
        <v>0.15471167369901548</v>
      </c>
      <c r="AA66" s="204">
        <v>0.22362869198312235</v>
      </c>
    </row>
    <row r="67" spans="17:27">
      <c r="Q67" s="204">
        <v>0.50326797385620914</v>
      </c>
      <c r="R67" s="204">
        <f>-49.6732026143791%</f>
        <v>-0.49673202614379103</v>
      </c>
      <c r="S67" s="204">
        <v>0.67320261437908502</v>
      </c>
      <c r="T67" s="204">
        <v>0.33986928104575165</v>
      </c>
      <c r="U67" s="204">
        <v>0.33333333333333331</v>
      </c>
      <c r="V67" s="204">
        <f>-24.1830065359477%</f>
        <v>-0.24183006535947701</v>
      </c>
      <c r="W67" s="204">
        <f>-11.1111111111111%</f>
        <v>-0.11111111111111099</v>
      </c>
      <c r="X67" s="204">
        <v>0.13071895424836602</v>
      </c>
      <c r="Y67" s="204">
        <f>-7.18954248366013%</f>
        <v>-7.1895424836601302E-2</v>
      </c>
      <c r="Z67" s="204">
        <v>4.5751633986928102E-2</v>
      </c>
      <c r="AA67" s="204">
        <f>-2.61437908496732%</f>
        <v>-2.61437908496732E-2</v>
      </c>
    </row>
    <row r="68" spans="17:27">
      <c r="Q68" s="204">
        <v>0.46058091286307051</v>
      </c>
      <c r="R68" s="204">
        <v>0.53941908713692943</v>
      </c>
      <c r="S68" s="204">
        <f>-31.5352697095436%</f>
        <v>-0.31535269709543601</v>
      </c>
      <c r="T68" s="204">
        <f>-13.2780082987552%</f>
        <v>-0.13278008298755201</v>
      </c>
      <c r="U68" s="204">
        <f>-18.2572614107884%</f>
        <v>-0.18257261410788397</v>
      </c>
      <c r="V68" s="204">
        <f>-25.3112033195021%</f>
        <v>-0.25311203319502096</v>
      </c>
      <c r="W68" s="204">
        <v>0.14107883817427386</v>
      </c>
      <c r="X68" s="204">
        <f>-11.2033195020747%</f>
        <v>-0.112033195020747</v>
      </c>
      <c r="Y68" s="204">
        <v>0.42738589211618255</v>
      </c>
      <c r="Z68" s="204">
        <v>0.18257261410788381</v>
      </c>
      <c r="AA68" s="204">
        <v>0.24481327800829875</v>
      </c>
    </row>
    <row r="69" spans="17:27">
      <c r="Q69" s="204">
        <v>0.47682119205298013</v>
      </c>
      <c r="R69" s="204">
        <v>0.52317880794701987</v>
      </c>
      <c r="S69" s="204">
        <f>-28.476821192053%</f>
        <v>-0.28476821192052998</v>
      </c>
      <c r="T69" s="204">
        <f>-13.9072847682119%</f>
        <v>-0.139072847682119</v>
      </c>
      <c r="U69" s="204">
        <f>-14.5695364238411%</f>
        <v>-0.14569536423841101</v>
      </c>
      <c r="V69" s="204">
        <f>-17.8807947019868%</f>
        <v>-0.17880794701986802</v>
      </c>
      <c r="W69" s="204">
        <v>0.11920529801324503</v>
      </c>
      <c r="X69" s="204">
        <f>-5.96026490066225%</f>
        <v>-5.9602649006622502E-2</v>
      </c>
      <c r="Y69" s="204">
        <v>0.48344370860927155</v>
      </c>
      <c r="Z69" s="204">
        <v>0.18543046357615894</v>
      </c>
      <c r="AA69" s="204">
        <v>0.29801324503311261</v>
      </c>
    </row>
    <row r="70" spans="17:27">
      <c r="Q70" s="204">
        <f>-39.3939393939394%</f>
        <v>-0.39393939393939398</v>
      </c>
      <c r="R70" s="204">
        <v>0.60606060606060608</v>
      </c>
      <c r="S70" s="204">
        <f>-23.030303030303%</f>
        <v>-0.23030303030302998</v>
      </c>
      <c r="T70" s="204">
        <f>-9.6969696969697%</f>
        <v>-9.6969696969697011E-2</v>
      </c>
      <c r="U70" s="204">
        <f>-13.3333333333333%</f>
        <v>-0.133333333333333</v>
      </c>
      <c r="V70" s="204">
        <f>-23.6363636363636%</f>
        <v>-0.236363636363636</v>
      </c>
      <c r="W70" s="204">
        <f>-10.3030303030303%</f>
        <v>-0.10303030303030299</v>
      </c>
      <c r="X70" s="204">
        <v>0.1393939393939394</v>
      </c>
      <c r="Y70" s="204">
        <v>0.49696969696969695</v>
      </c>
      <c r="Z70" s="204">
        <v>0.18787878787878787</v>
      </c>
      <c r="AA70" s="204">
        <v>0.30909090909090908</v>
      </c>
    </row>
    <row r="71" spans="17:27">
      <c r="Q71" s="204">
        <f>-25.4317111459969%</f>
        <v>-0.25431711145996899</v>
      </c>
      <c r="R71" s="204">
        <v>0.7456828885400314</v>
      </c>
      <c r="S71" s="204">
        <v>0.64233385661957088</v>
      </c>
      <c r="T71" s="204">
        <f>-14.8090005232862%</f>
        <v>-0.148090005232862</v>
      </c>
      <c r="U71" s="204">
        <v>0.49424385138670851</v>
      </c>
      <c r="V71" s="204">
        <v>0.30690737833594978</v>
      </c>
      <c r="W71" s="204">
        <f>-9.26216640502355%</f>
        <v>-9.2621664050235489E-2</v>
      </c>
      <c r="X71" s="204">
        <v>0.21428571428571427</v>
      </c>
      <c r="Y71" s="204">
        <f>-4.52642595499738%</f>
        <v>-4.5264259549973804E-2</v>
      </c>
      <c r="Z71" s="204">
        <f>-1.17739403453689%</f>
        <v>-1.17739403453689E-2</v>
      </c>
      <c r="AA71" s="204">
        <f>-3.34903192046049%</f>
        <v>-3.34903192046049E-2</v>
      </c>
    </row>
    <row r="72" spans="17:27">
      <c r="Q72" s="204">
        <f>-26.4872521246459%</f>
        <v>-0.26487252124645899</v>
      </c>
      <c r="R72" s="204">
        <v>0.73371104815864019</v>
      </c>
      <c r="S72" s="204">
        <v>0.77620396600566577</v>
      </c>
      <c r="T72" s="204">
        <v>0.19263456090651557</v>
      </c>
      <c r="U72" s="204">
        <v>0.58356940509915012</v>
      </c>
      <c r="V72" s="204">
        <f>-21.5297450424929%</f>
        <v>-0.21529745042492901</v>
      </c>
      <c r="W72" s="204">
        <f>-7.22379603399433%</f>
        <v>-7.22379603399433E-2</v>
      </c>
      <c r="X72" s="204">
        <v>0.14305949008498584</v>
      </c>
      <c r="Y72" s="204">
        <f>-0.84985835694051%</f>
        <v>-8.4985835694051E-3</v>
      </c>
      <c r="Z72" s="204" t="e">
        <v>#VALUE!</v>
      </c>
      <c r="AA72" s="204">
        <f>-0.708215297450425%</f>
        <v>-7.0821529745042503E-3</v>
      </c>
    </row>
    <row r="73" spans="17:27">
      <c r="Q73" s="204">
        <f>-22.6519337016575%</f>
        <v>-0.22651933701657501</v>
      </c>
      <c r="R73" s="204">
        <v>0.77348066298342544</v>
      </c>
      <c r="S73" s="204">
        <v>0.62430939226519333</v>
      </c>
      <c r="T73" s="204">
        <f>-12.4704025256511%</f>
        <v>-0.12470402525651099</v>
      </c>
      <c r="U73" s="204">
        <v>0.49960536700868191</v>
      </c>
      <c r="V73" s="204">
        <v>0.31728492501973166</v>
      </c>
      <c r="W73" s="204">
        <f>-8.91870560378848%</f>
        <v>-8.9187056037884793E-2</v>
      </c>
      <c r="X73" s="204">
        <v>0.22809786898184689</v>
      </c>
      <c r="Y73" s="204">
        <f>-5.36700868192581%</f>
        <v>-5.3670086819258105E-2</v>
      </c>
      <c r="Z73" s="204">
        <f>-1.26282557221784%</f>
        <v>-1.26282557221784E-2</v>
      </c>
      <c r="AA73" s="204">
        <v>4.1041831097079713E-2</v>
      </c>
    </row>
    <row r="74" spans="17:27">
      <c r="Q74" s="204">
        <f>-25.8620689655172%</f>
        <v>-0.25862068965517199</v>
      </c>
      <c r="R74" s="204">
        <v>0.74022988505747123</v>
      </c>
      <c r="S74" s="204">
        <v>0.60804597701149421</v>
      </c>
      <c r="T74" s="204">
        <f>-14.0229885057471%</f>
        <v>-0.140229885057471</v>
      </c>
      <c r="U74" s="204">
        <v>0.46666666666666667</v>
      </c>
      <c r="V74" s="204">
        <v>0.33103448275862069</v>
      </c>
      <c r="W74" s="204">
        <f>-9.42528735632184%</f>
        <v>-9.4252873563218403E-2</v>
      </c>
      <c r="X74" s="204">
        <v>0.23678160919540231</v>
      </c>
      <c r="Y74" s="204">
        <f>-5.51724137931035%</f>
        <v>-5.5172413793103496E-2</v>
      </c>
      <c r="Z74" s="204">
        <f>-1.95402298850575%</f>
        <v>-1.9540229885057502E-2</v>
      </c>
      <c r="AA74" s="204">
        <f>-3.44827586206897%</f>
        <v>-3.4482758620689703E-2</v>
      </c>
    </row>
    <row r="75" spans="17:27">
      <c r="Q75" s="204">
        <f>-27.7834525025536%</f>
        <v>-0.27783452502553602</v>
      </c>
      <c r="R75" s="204">
        <v>0.72216547497446371</v>
      </c>
      <c r="S75" s="204">
        <v>0.59959141981613895</v>
      </c>
      <c r="T75" s="204">
        <f>-15.3217568947906%</f>
        <v>-0.153217568947906</v>
      </c>
      <c r="U75" s="204">
        <v>0.44637385086823289</v>
      </c>
      <c r="V75" s="204">
        <v>0.33707865168539325</v>
      </c>
      <c r="W75" s="204">
        <f>-11.0316649642492%</f>
        <v>-0.11031664964249201</v>
      </c>
      <c r="X75" s="204">
        <v>0.22676200204290092</v>
      </c>
      <c r="Y75" s="204">
        <f>-5.31154239019408%</f>
        <v>-5.3115423901940802E-2</v>
      </c>
      <c r="Z75" s="204">
        <f>-1.22574055158325%</f>
        <v>-1.2257405515832501E-2</v>
      </c>
      <c r="AA75" s="204">
        <v>4.0858018386108273E-2</v>
      </c>
    </row>
    <row r="76" spans="17:27">
      <c r="Q76" s="204">
        <f>-32.1329639889197%</f>
        <v>-0.32132963988919699</v>
      </c>
      <c r="R76" s="204">
        <v>0.67867036011080328</v>
      </c>
      <c r="S76" s="204">
        <f>-44.3213296398892%</f>
        <v>-0.44321329639889201</v>
      </c>
      <c r="T76" s="204">
        <f>-15.2354570637119%</f>
        <v>-0.15235457063711899</v>
      </c>
      <c r="U76" s="204">
        <f>-29.0858725761773%</f>
        <v>-0.29085872576177302</v>
      </c>
      <c r="V76" s="204">
        <f>-22.7146814404432%</f>
        <v>-0.22714681440443202</v>
      </c>
      <c r="W76" s="204">
        <f>-8.86426592797784%</f>
        <v>-8.8642659279778394E-2</v>
      </c>
      <c r="X76" s="204">
        <v>0.13573407202216067</v>
      </c>
      <c r="Y76" s="204">
        <v>0.32686980609418281</v>
      </c>
      <c r="Z76" s="204">
        <v>7.7562326869806089E-2</v>
      </c>
      <c r="AA76" s="204">
        <v>0.24930747922437674</v>
      </c>
    </row>
    <row r="77" spans="17:27">
      <c r="Q77" s="204">
        <f>-39.1304347826087%</f>
        <v>-0.39130434782608703</v>
      </c>
      <c r="R77" s="204">
        <v>0.60869565217391308</v>
      </c>
      <c r="S77" s="204">
        <v>0.65217391304347827</v>
      </c>
      <c r="T77" s="204">
        <v>0.27536231884057971</v>
      </c>
      <c r="U77" s="204">
        <v>0.37681159420289856</v>
      </c>
      <c r="V77" s="204">
        <f>-24.6376811594203%</f>
        <v>-0.24637681159420299</v>
      </c>
      <c r="W77" s="204">
        <f>-8.69565217391304%</f>
        <v>-8.6956521739130391E-2</v>
      </c>
      <c r="X77" s="204">
        <v>0.15942028985507245</v>
      </c>
      <c r="Y77" s="204">
        <v>0.10144927536231885</v>
      </c>
      <c r="Z77" s="204">
        <v>2.8985507246376812E-2</v>
      </c>
      <c r="AA77" s="204">
        <v>7.2463768115942032E-2</v>
      </c>
    </row>
    <row r="78" spans="17:27">
      <c r="Q78" s="204">
        <f>-41.8803418803419%</f>
        <v>-0.41880341880341904</v>
      </c>
      <c r="R78" s="204">
        <v>0.58119658119658124</v>
      </c>
      <c r="S78" s="204">
        <f>-44.4444444444444%</f>
        <v>-0.44444444444444398</v>
      </c>
      <c r="T78" s="204">
        <v>0.17948717948717949</v>
      </c>
      <c r="U78" s="204">
        <f>-26.4957264957265%</f>
        <v>-0.26495726495726502</v>
      </c>
      <c r="V78" s="204">
        <f>-22.2222222222222%</f>
        <v>-0.22222222222222199</v>
      </c>
      <c r="W78" s="204">
        <f>-11.1111111111111%</f>
        <v>-0.11111111111111099</v>
      </c>
      <c r="X78" s="204">
        <f>-11.1111111111111%</f>
        <v>-0.11111111111111099</v>
      </c>
      <c r="Y78" s="204">
        <v>0.33333333333333331</v>
      </c>
      <c r="Z78" s="204">
        <v>0.12820512820512819</v>
      </c>
      <c r="AA78" s="204">
        <v>0.20512820512820512</v>
      </c>
    </row>
    <row r="79" spans="17:27">
      <c r="Q79" s="204">
        <f>-31.1688311688312%</f>
        <v>-0.31168831168831201</v>
      </c>
      <c r="R79" s="204">
        <v>0.68831168831168832</v>
      </c>
      <c r="S79" s="204">
        <f>-37.6623376623377%</f>
        <v>-0.37662337662337697</v>
      </c>
      <c r="T79" s="204">
        <f>-11.6883116883117%</f>
        <v>-0.11688311688311699</v>
      </c>
      <c r="U79" s="204">
        <f>-25.974025974026%</f>
        <v>-0.25974025974025999</v>
      </c>
      <c r="V79" s="204">
        <f>-23.3766233766234%</f>
        <v>-0.23376623376623398</v>
      </c>
      <c r="W79" s="204">
        <v>0.11688311688311701</v>
      </c>
      <c r="X79" s="204">
        <v>0.12987012987012986</v>
      </c>
      <c r="Y79" s="204">
        <v>0.38961038961038963</v>
      </c>
      <c r="Z79" s="204">
        <v>9.0909090909090912E-2</v>
      </c>
      <c r="AA79" s="204">
        <v>0.31168831168831168</v>
      </c>
    </row>
    <row r="80" spans="17:27">
      <c r="Q80" s="204">
        <f>-16.4948453608247%</f>
        <v>-0.164948453608247</v>
      </c>
      <c r="R80" s="204">
        <v>0.84536082474226804</v>
      </c>
      <c r="S80" s="204">
        <f>-36.0824742268041%</f>
        <v>-0.36082474226804101</v>
      </c>
      <c r="T80" s="204">
        <f>-7.21649484536082%</f>
        <v>-7.2164948453608199E-2</v>
      </c>
      <c r="U80" s="204">
        <f>-28.8659793814433%</f>
        <v>-0.28865979381443302</v>
      </c>
      <c r="V80" s="204">
        <f>-20.6185567010309%</f>
        <v>-0.20618556701030902</v>
      </c>
      <c r="W80" s="204">
        <f>-4.12371134020619%</f>
        <v>-4.1237113402061897E-2</v>
      </c>
      <c r="X80" s="204">
        <v>0.16494845360824742</v>
      </c>
      <c r="Y80" s="204">
        <v>0.4329896907216495</v>
      </c>
      <c r="Z80" s="204">
        <v>5.1546391752577317E-2</v>
      </c>
      <c r="AA80" s="204">
        <v>0.39175257731958762</v>
      </c>
    </row>
    <row r="81" spans="17:27">
      <c r="Q81" s="204">
        <v>0.59722222222222221</v>
      </c>
      <c r="R81" s="204">
        <f>-40.4761904761905%</f>
        <v>-0.40476190476190504</v>
      </c>
      <c r="S81" s="204">
        <f>-22.4206349206349%</f>
        <v>-0.22420634920634899</v>
      </c>
      <c r="T81" s="204">
        <f>-13.2936507936508%</f>
        <v>-0.13293650793650799</v>
      </c>
      <c r="U81" s="204">
        <f>-9.12698412698413%</f>
        <v>-9.1269841269841306E-2</v>
      </c>
      <c r="V81" s="204">
        <v>0.3888888888888889</v>
      </c>
      <c r="W81" s="204">
        <v>0.24603174603174602</v>
      </c>
      <c r="X81" s="204">
        <v>0.14285714285714285</v>
      </c>
      <c r="Y81" s="204">
        <v>0.33730158730158732</v>
      </c>
      <c r="Z81" s="204">
        <v>0.17857142857142858</v>
      </c>
      <c r="AA81" s="204">
        <v>0.15873015873015872</v>
      </c>
    </row>
    <row r="82" spans="17:27">
      <c r="Q82" s="204">
        <v>0.70114942528735635</v>
      </c>
      <c r="R82" s="204">
        <f>-29.8850574712644%</f>
        <v>-0.29885057471264398</v>
      </c>
      <c r="S82" s="204">
        <v>0.55172413793103448</v>
      </c>
      <c r="T82" s="204">
        <v>0.36781609195402298</v>
      </c>
      <c r="U82" s="204">
        <f>-18.3908045977011%</f>
        <v>-0.18390804597701099</v>
      </c>
      <c r="V82" s="204">
        <v>0.40229885057471265</v>
      </c>
      <c r="W82" s="204">
        <v>0.2988505747126437</v>
      </c>
      <c r="X82" s="204">
        <f>-10.3448275862069%</f>
        <v>-0.10344827586206901</v>
      </c>
      <c r="Y82" s="204">
        <f>-3.44827586206897%</f>
        <v>-3.4482758620689703E-2</v>
      </c>
      <c r="Z82" s="204">
        <v>2.2988505747126436E-2</v>
      </c>
      <c r="AA82" s="204">
        <f>-1.14942528735632%</f>
        <v>-1.1494252873563199E-2</v>
      </c>
    </row>
    <row r="83" spans="17:27">
      <c r="Q83" s="204">
        <v>0.61849710982658956</v>
      </c>
      <c r="R83" s="204">
        <f>-38.150289017341%</f>
        <v>-0.38150289017341005</v>
      </c>
      <c r="S83" s="204">
        <f>-16.7630057803468%</f>
        <v>-0.16763005780346799</v>
      </c>
      <c r="T83" s="204">
        <f>-10.4046242774566%</f>
        <v>-0.10404624277456601</v>
      </c>
      <c r="U83" s="204">
        <f>-6.35838150289017%</f>
        <v>-6.3583815028901702E-2</v>
      </c>
      <c r="V83" s="204">
        <v>0.45664739884393063</v>
      </c>
      <c r="W83" s="204">
        <v>0.27167630057803466</v>
      </c>
      <c r="X83" s="204">
        <v>0.1791907514450867</v>
      </c>
      <c r="Y83" s="204">
        <v>0.30635838150289019</v>
      </c>
      <c r="Z83" s="204">
        <v>0.1791907514450867</v>
      </c>
      <c r="AA83" s="204">
        <v>0.12716763005780346</v>
      </c>
    </row>
    <row r="84" spans="17:27">
      <c r="Q84" s="204">
        <v>0.65094339622641506</v>
      </c>
      <c r="R84" s="204">
        <f>-34.9056603773585%</f>
        <v>-0.34905660377358499</v>
      </c>
      <c r="S84" s="204">
        <f>-17.9245283018868%</f>
        <v>-0.179245283018868</v>
      </c>
      <c r="T84" s="204">
        <f>-10.377358490566%</f>
        <v>-0.10377358490565999</v>
      </c>
      <c r="U84" s="204">
        <f>-6.60377358490566%</f>
        <v>-6.6037735849056603E-2</v>
      </c>
      <c r="V84" s="204">
        <v>0.330188679245283</v>
      </c>
      <c r="W84" s="204">
        <v>0.23584905660377359</v>
      </c>
      <c r="X84" s="204">
        <f>-10.377358490566%</f>
        <v>-0.10377358490565999</v>
      </c>
      <c r="Y84" s="204">
        <v>0.45283018867924529</v>
      </c>
      <c r="Z84" s="204">
        <v>0.27358490566037735</v>
      </c>
      <c r="AA84" s="204">
        <v>0.17924528301886791</v>
      </c>
    </row>
    <row r="85" spans="17:27">
      <c r="Q85" s="204">
        <v>0.47101449275362317</v>
      </c>
      <c r="R85" s="204">
        <v>0.53623188405797106</v>
      </c>
      <c r="S85" s="204">
        <f>-13.0434782608696%</f>
        <v>-0.13043478260869601</v>
      </c>
      <c r="T85" s="204">
        <f>-4.34782608695652%</f>
        <v>-4.3478260869565195E-2</v>
      </c>
      <c r="U85" s="204">
        <f>-8.69565217391304%</f>
        <v>-8.6956521739130391E-2</v>
      </c>
      <c r="V85" s="204">
        <v>0.34057971014492755</v>
      </c>
      <c r="W85" s="204">
        <v>0.18840579710144928</v>
      </c>
      <c r="X85" s="204">
        <v>0.15217391304347827</v>
      </c>
      <c r="Y85" s="204">
        <v>0.47101449275362317</v>
      </c>
      <c r="Z85" s="204">
        <v>0.20289855072463769</v>
      </c>
      <c r="AA85" s="204">
        <v>0.26811594202898553</v>
      </c>
    </row>
    <row r="86" spans="17:27">
      <c r="Q86" s="204">
        <f>-15.5021834061135%</f>
        <v>-0.15502183406113501</v>
      </c>
      <c r="R86" s="204">
        <v>0.84497816593886466</v>
      </c>
      <c r="S86" s="204">
        <v>0.63482532751091703</v>
      </c>
      <c r="T86" s="204">
        <f>-9.11572052401747%</f>
        <v>-9.1157205240174705E-2</v>
      </c>
      <c r="U86" s="204">
        <v>0.54366812227074235</v>
      </c>
      <c r="V86" s="204">
        <v>0.29148471615720523</v>
      </c>
      <c r="W86" s="204">
        <f>-5.13100436681223%</f>
        <v>-5.13100436681223E-2</v>
      </c>
      <c r="X86" s="204">
        <v>0.23962882096069868</v>
      </c>
      <c r="Y86" s="204">
        <v>7.3144104803493454E-2</v>
      </c>
      <c r="Z86" s="204">
        <f>-1.20087336244541%</f>
        <v>-1.20087336244541E-2</v>
      </c>
      <c r="AA86" s="204">
        <v>6.1135371179039298E-2</v>
      </c>
    </row>
    <row r="87" spans="17:27">
      <c r="Q87" s="204">
        <f>-22.2222222222222%</f>
        <v>-0.22222222222222199</v>
      </c>
      <c r="R87" s="204">
        <v>0.78019323671497587</v>
      </c>
      <c r="S87" s="204">
        <v>0.7874396135265701</v>
      </c>
      <c r="T87" s="204">
        <v>0.17632850241545894</v>
      </c>
      <c r="U87" s="204">
        <v>0.61111111111111116</v>
      </c>
      <c r="V87" s="204">
        <f>-20.5314009661836%</f>
        <v>-0.20531400966183599</v>
      </c>
      <c r="W87" s="204">
        <f>-4.34782608695652%</f>
        <v>-4.3478260869565195E-2</v>
      </c>
      <c r="X87" s="204">
        <v>0.16183574879227053</v>
      </c>
      <c r="Y87" s="204">
        <f>-0.966183574879227%</f>
        <v>-9.6618357487922701E-3</v>
      </c>
      <c r="Z87" s="204">
        <f>-0.241545893719807%</f>
        <v>-2.4154589371980701E-3</v>
      </c>
      <c r="AA87" s="204">
        <f>-0.72463768115942%</f>
        <v>-7.2463768115941995E-3</v>
      </c>
    </row>
    <row r="88" spans="17:27">
      <c r="Q88" s="204">
        <f>-17.3598553345389%</f>
        <v>-0.17359855334538898</v>
      </c>
      <c r="R88" s="204">
        <v>0.82640144665461124</v>
      </c>
      <c r="S88" s="204">
        <v>0.569620253164557</v>
      </c>
      <c r="T88" s="204">
        <f>-7.95660036166365%</f>
        <v>-7.9566003616636502E-2</v>
      </c>
      <c r="U88" s="204">
        <v>0.49005424954792043</v>
      </c>
      <c r="V88" s="204">
        <v>0.34177215189873417</v>
      </c>
      <c r="W88" s="204">
        <f>-7.23327305605787%</f>
        <v>-7.2332730560578706E-2</v>
      </c>
      <c r="X88" s="204">
        <v>0.26943942133815552</v>
      </c>
      <c r="Y88" s="204">
        <v>8.6799276672694395E-2</v>
      </c>
      <c r="Z88" s="204">
        <v>2.1699819168173599E-2</v>
      </c>
      <c r="AA88" s="204">
        <v>6.6907775768535266E-2</v>
      </c>
    </row>
    <row r="89" spans="17:27">
      <c r="Q89" s="204">
        <f>-12.6404494382022%</f>
        <v>-0.126404494382022</v>
      </c>
      <c r="R89" s="204">
        <v>0.8735955056179775</v>
      </c>
      <c r="S89" s="204">
        <v>0.6039325842696629</v>
      </c>
      <c r="T89" s="204">
        <f>-7.02247191011236%</f>
        <v>-7.02247191011236E-2</v>
      </c>
      <c r="U89" s="204">
        <v>0.5337078651685393</v>
      </c>
      <c r="V89" s="204">
        <v>0.3061797752808989</v>
      </c>
      <c r="W89" s="204">
        <f>-4.21348314606742%</f>
        <v>-4.2134831460674198E-2</v>
      </c>
      <c r="X89" s="204">
        <v>0.2640449438202247</v>
      </c>
      <c r="Y89" s="204">
        <v>8.7078651685393263E-2</v>
      </c>
      <c r="Z89" s="204">
        <f>-1.40449438202247%</f>
        <v>-1.40449438202247E-2</v>
      </c>
      <c r="AA89" s="204">
        <v>7.3033707865168537E-2</v>
      </c>
    </row>
    <row r="90" spans="17:27">
      <c r="Q90" s="204">
        <f>-10.2161100196464%</f>
        <v>-0.102161100196464</v>
      </c>
      <c r="R90" s="204">
        <v>0.89980353634577603</v>
      </c>
      <c r="S90" s="204">
        <v>0.60510805500982323</v>
      </c>
      <c r="T90" s="204">
        <f>-4.91159135559921%</f>
        <v>-4.9115913555992104E-2</v>
      </c>
      <c r="U90" s="204">
        <v>0.55599214145383102</v>
      </c>
      <c r="V90" s="204">
        <v>0.29666011787819252</v>
      </c>
      <c r="W90" s="204">
        <f>-4.32220039292731%</f>
        <v>-4.3222003929273098E-2</v>
      </c>
      <c r="X90" s="204">
        <v>0.25343811394891946</v>
      </c>
      <c r="Y90" s="204">
        <v>9.8231827111984277E-2</v>
      </c>
      <c r="Z90" s="204">
        <f>-0.982318271119843%</f>
        <v>-9.8231827111984298E-3</v>
      </c>
      <c r="AA90" s="204">
        <v>9.0373280943025547E-2</v>
      </c>
    </row>
    <row r="91" spans="17:27">
      <c r="Q91" s="204">
        <v>0.54921630094043883</v>
      </c>
      <c r="R91" s="204">
        <f>-45.0783699059561%</f>
        <v>-0.450783699059561</v>
      </c>
      <c r="S91" s="204">
        <v>0.51648902821316611</v>
      </c>
      <c r="T91" s="204">
        <v>0.2927899686520376</v>
      </c>
      <c r="U91" s="204">
        <f>-22.3699059561129%</f>
        <v>-0.22369905956112898</v>
      </c>
      <c r="V91" s="204">
        <v>0.28175548589341692</v>
      </c>
      <c r="W91" s="204">
        <v>0.16639498432601882</v>
      </c>
      <c r="X91" s="204">
        <f>-11.5360501567398%</f>
        <v>-0.11536050156739799</v>
      </c>
      <c r="Y91" s="204">
        <f>-4.21316614420063%</f>
        <v>-4.21316614420063E-2</v>
      </c>
      <c r="Z91" s="204">
        <v>2.1442006269592476E-2</v>
      </c>
      <c r="AA91" s="204">
        <f>-2.06896551724138%</f>
        <v>-2.06896551724138E-2</v>
      </c>
    </row>
    <row r="92" spans="17:27">
      <c r="Q92" s="204">
        <v>0.6417157275021026</v>
      </c>
      <c r="R92" s="204">
        <f>-35.8284272497897%</f>
        <v>-0.35828427249789696</v>
      </c>
      <c r="S92" s="204">
        <v>0.67703952901597986</v>
      </c>
      <c r="T92" s="204">
        <v>0.4179983179142136</v>
      </c>
      <c r="U92" s="204">
        <f>-25.9882253994954%</f>
        <v>-0.25988225399495396</v>
      </c>
      <c r="V92" s="204">
        <f>-19.5121951219512%</f>
        <v>-0.19512195121951201</v>
      </c>
      <c r="W92" s="204">
        <v>0.14129520605550883</v>
      </c>
      <c r="X92" s="204">
        <f>-5.38267451640034%</f>
        <v>-5.3826745164003403E-2</v>
      </c>
      <c r="Y92" s="204">
        <f>-1.85029436501262%</f>
        <v>-1.85029436501262E-2</v>
      </c>
      <c r="Z92" s="204">
        <f>-1.09335576114382%</f>
        <v>-1.09335576114382E-2</v>
      </c>
      <c r="AA92" s="204">
        <f>-0.756938603868797%</f>
        <v>-7.5693860386879695E-3</v>
      </c>
    </row>
    <row r="93" spans="17:27">
      <c r="Q93" s="204">
        <v>0.57058326289095518</v>
      </c>
      <c r="R93" s="204">
        <f>-42.9416737109045%</f>
        <v>-0.42941673710904504</v>
      </c>
      <c r="S93" s="204">
        <f>-48.0135249366019%</f>
        <v>-0.48013524936601898</v>
      </c>
      <c r="T93" s="204">
        <v>0.27134404057480982</v>
      </c>
      <c r="U93" s="204">
        <f>-20.8791208791209%</f>
        <v>-0.20879120879120902</v>
      </c>
      <c r="V93" s="204">
        <v>0.29416737109044799</v>
      </c>
      <c r="W93" s="204">
        <v>0.17793744716821641</v>
      </c>
      <c r="X93" s="204">
        <f>-11.6229923922232%</f>
        <v>-0.116229923922232</v>
      </c>
      <c r="Y93" s="204">
        <f>-4.35333896872358%</f>
        <v>-4.3533389687235802E-2</v>
      </c>
      <c r="Z93" s="204">
        <v>2.2400676246830092E-2</v>
      </c>
      <c r="AA93" s="204">
        <f>-2.11327134404057%</f>
        <v>-2.1132713440405699E-2</v>
      </c>
    </row>
    <row r="94" spans="17:27">
      <c r="Q94" s="204">
        <v>0.53229061553985868</v>
      </c>
      <c r="R94" s="204">
        <f>-46.7204843592331%</f>
        <v>-0.467204843592331</v>
      </c>
      <c r="S94" s="204">
        <f>-47.2754793138244%</f>
        <v>-0.47275479313824398</v>
      </c>
      <c r="T94" s="204">
        <v>0.25832492431886983</v>
      </c>
      <c r="U94" s="204">
        <f>-21.3925327951564%</f>
        <v>-0.21392532795156399</v>
      </c>
      <c r="V94" s="204">
        <v>0.31130171543895058</v>
      </c>
      <c r="W94" s="204">
        <v>0.18213925327951563</v>
      </c>
      <c r="X94" s="204">
        <v>0.12966700302724521</v>
      </c>
      <c r="Y94" s="204">
        <f>-4.9949545913219%</f>
        <v>-4.9949545913218998E-2</v>
      </c>
      <c r="Z94" s="204">
        <v>2.5731584258324926E-2</v>
      </c>
      <c r="AA94" s="204">
        <f>-2.4217961654894%</f>
        <v>-2.4217961654894E-2</v>
      </c>
    </row>
    <row r="95" spans="17:27">
      <c r="Q95" s="204">
        <v>0.49671862182116489</v>
      </c>
      <c r="R95" s="204">
        <f>-50.3281378178835%</f>
        <v>-0.503281378178835</v>
      </c>
      <c r="S95" s="204">
        <v>0.50902378999179654</v>
      </c>
      <c r="T95" s="204">
        <v>0.28055783429040199</v>
      </c>
      <c r="U95" s="204">
        <f>-22.8465955701395%</f>
        <v>-0.228465955701395</v>
      </c>
      <c r="V95" s="204">
        <v>0.28794093519278097</v>
      </c>
      <c r="W95" s="204">
        <v>0.15504511894995898</v>
      </c>
      <c r="X95" s="204">
        <v>0.13289581624282198</v>
      </c>
      <c r="Y95" s="204">
        <f>-4.63494667760459%</f>
        <v>-4.6349466776045893E-2</v>
      </c>
      <c r="Z95" s="204">
        <v>2.2149302707136997E-2</v>
      </c>
      <c r="AA95" s="204">
        <f>-2.42001640689089%</f>
        <v>-2.4200164068908899E-2</v>
      </c>
    </row>
    <row r="96" spans="17:27">
      <c r="Q96" s="204">
        <v>0.5256321680254249</v>
      </c>
      <c r="R96" s="204">
        <f>-47.4367831974575%</f>
        <v>-0.47436783197457499</v>
      </c>
      <c r="S96" s="204">
        <v>0.64291142738703888</v>
      </c>
      <c r="T96" s="204">
        <v>0.32261296117175625</v>
      </c>
      <c r="U96" s="204">
        <v>0.32026392151443966</v>
      </c>
      <c r="V96" s="204">
        <v>0.28582285477407765</v>
      </c>
      <c r="W96" s="204">
        <v>0.17120353737736632</v>
      </c>
      <c r="X96" s="204">
        <f>-11.4619317396711%</f>
        <v>-0.114619317396711</v>
      </c>
      <c r="Y96" s="204">
        <f>-2.33522177697941%</f>
        <v>-2.3352217769794098E-2</v>
      </c>
      <c r="Z96" s="204">
        <f>-1.00525079452812%</f>
        <v>-1.0052507945281199E-2</v>
      </c>
      <c r="AA96" s="204">
        <f>-1.32997098245129%</f>
        <v>-1.32997098245129E-2</v>
      </c>
    </row>
    <row r="97" spans="16:27">
      <c r="Q97" s="204">
        <v>0.60700781446937235</v>
      </c>
      <c r="R97" s="204">
        <f>-39.3244265187799%</f>
        <v>-0.39324426518779904</v>
      </c>
      <c r="S97" s="204">
        <v>0.78295941517519541</v>
      </c>
      <c r="T97" s="204">
        <v>0.45525586085202924</v>
      </c>
      <c r="U97" s="204">
        <v>0.32745147466599445</v>
      </c>
      <c r="V97" s="204">
        <f>-18.6538946307033%</f>
        <v>-0.18653894630703299</v>
      </c>
      <c r="W97" s="204">
        <v>0.13309805898663979</v>
      </c>
      <c r="X97" s="204">
        <f>-5.34408873203932%</f>
        <v>-5.3440887320393198E-2</v>
      </c>
      <c r="Y97" s="204" t="e">
        <v>#VALUE!</v>
      </c>
      <c r="Z97" s="204" t="e">
        <v>#VALUE!</v>
      </c>
      <c r="AA97" s="204" t="e">
        <v>#VALUE!</v>
      </c>
    </row>
    <row r="98" spans="16:27">
      <c r="Q98" s="204">
        <v>0.54580201299528608</v>
      </c>
      <c r="R98" s="204">
        <f>-45.4070582239776%</f>
        <v>-0.45407058223977598</v>
      </c>
      <c r="S98" s="204">
        <v>0.64530513441202697</v>
      </c>
      <c r="T98" s="204">
        <v>0.33341826984329215</v>
      </c>
      <c r="U98" s="204">
        <v>0.31188686456873488</v>
      </c>
      <c r="V98" s="204">
        <v>0.29799974519047012</v>
      </c>
      <c r="W98" s="204">
        <v>0.18269843292139126</v>
      </c>
      <c r="X98" s="204">
        <f>-11.5301312269079%</f>
        <v>-0.115301312269079</v>
      </c>
      <c r="Y98" s="204">
        <f>-1.36323098483883%</f>
        <v>-1.3632309848388299E-2</v>
      </c>
      <c r="Z98" s="204">
        <f>-0.700726207160148%</f>
        <v>-7.0072620716014802E-3</v>
      </c>
      <c r="AA98" s="204">
        <f>-0.662504777678685%</f>
        <v>-6.6250477767868495E-3</v>
      </c>
    </row>
    <row r="99" spans="16:27">
      <c r="Q99" s="204">
        <v>0.5393258426966292</v>
      </c>
      <c r="R99" s="204">
        <f>-46.0812872797892%</f>
        <v>-0.46081287279789201</v>
      </c>
      <c r="S99" s="204">
        <v>0.58496324039395198</v>
      </c>
      <c r="T99" s="204">
        <v>0.29421556387848524</v>
      </c>
      <c r="U99" s="204">
        <f>-29.0747676515467%</f>
        <v>-0.29074767651546701</v>
      </c>
      <c r="V99" s="204">
        <v>0.33832709113607989</v>
      </c>
      <c r="W99" s="204">
        <v>0.20516021639617146</v>
      </c>
      <c r="X99" s="204">
        <v>0.13316687473990846</v>
      </c>
      <c r="Y99" s="204">
        <f>-2.46913580246914%</f>
        <v>-2.4691358024691402E-2</v>
      </c>
      <c r="Z99" s="204">
        <f>-1.09585240671383%</f>
        <v>-1.0958524067138299E-2</v>
      </c>
      <c r="AA99" s="204">
        <f>-1.37328339575531%</f>
        <v>-1.3732833957553101E-2</v>
      </c>
    </row>
    <row r="100" spans="16:27">
      <c r="Q100" s="204">
        <v>0.46729819611004736</v>
      </c>
      <c r="R100" s="204">
        <v>0.53270180388995259</v>
      </c>
      <c r="S100" s="204">
        <v>0.62702811649702705</v>
      </c>
      <c r="T100" s="204">
        <v>0.28166885014612514</v>
      </c>
      <c r="U100" s="204">
        <v>0.34546004232590949</v>
      </c>
      <c r="V100" s="204">
        <v>0.27783936309583795</v>
      </c>
      <c r="W100" s="204">
        <v>0.15277637811145822</v>
      </c>
      <c r="X100" s="204">
        <f>-12.4962209009372%</f>
        <v>-0.12496220900937199</v>
      </c>
      <c r="Y100" s="204">
        <f>-3.88995263529175%</f>
        <v>-3.8899526352917498E-2</v>
      </c>
      <c r="Z100" s="204">
        <f>-1.54187241761564%</f>
        <v>-1.54187241761564E-2</v>
      </c>
      <c r="AA100" s="204">
        <f>-2.34808021767611%</f>
        <v>-2.3480802176761101E-2</v>
      </c>
    </row>
    <row r="101" spans="16:27">
      <c r="P101" t="s">
        <v>328</v>
      </c>
      <c r="Q101">
        <f>SUMIF(Q56:Q100, "&gt;0")</f>
        <v>12.895185897316447</v>
      </c>
      <c r="R101">
        <f t="shared" ref="R101:AA101" si="13">SUMIF(R56:R100, "&gt;0")</f>
        <v>18.787808490653891</v>
      </c>
      <c r="S101">
        <f t="shared" si="13"/>
        <v>19.338991242185482</v>
      </c>
      <c r="T101">
        <f t="shared" si="13"/>
        <v>6.6136646966029566</v>
      </c>
      <c r="U101">
        <f t="shared" si="13"/>
        <v>10.786259767890146</v>
      </c>
      <c r="V101">
        <f t="shared" si="13"/>
        <v>9.2594210638739458</v>
      </c>
      <c r="W101">
        <f t="shared" si="13"/>
        <v>4.1855989814640395</v>
      </c>
      <c r="X101">
        <f t="shared" si="13"/>
        <v>5.5052158282510133</v>
      </c>
      <c r="Y101">
        <f t="shared" si="13"/>
        <v>5.8376494682704827</v>
      </c>
      <c r="Z101">
        <f t="shared" si="13"/>
        <v>2.2923739790715665</v>
      </c>
      <c r="AA101">
        <f t="shared" si="13"/>
        <v>3.7781904082449218</v>
      </c>
    </row>
    <row r="102" spans="16:27">
      <c r="P102" t="s">
        <v>329</v>
      </c>
      <c r="Q102">
        <f>SUMIF(Q56:Q100, "&lt;0")</f>
        <v>-5.4540001586097553</v>
      </c>
      <c r="R102">
        <f t="shared" ref="R102:AA102" si="14">SUMIF(R56:R100, "&lt;0")</f>
        <v>-7.884141177423734</v>
      </c>
      <c r="S102">
        <f t="shared" si="14"/>
        <v>-4.4756184520294306</v>
      </c>
      <c r="T102">
        <f t="shared" si="14"/>
        <v>-2.4310303746753097</v>
      </c>
      <c r="U102">
        <f t="shared" si="14"/>
        <v>-3.9716892532442132</v>
      </c>
      <c r="V102">
        <f t="shared" si="14"/>
        <v>-3.5038014824829764</v>
      </c>
      <c r="W102">
        <f t="shared" si="14"/>
        <v>-1.7248905255356604</v>
      </c>
      <c r="X102">
        <f t="shared" si="14"/>
        <v>-1.3669035734622443</v>
      </c>
      <c r="Y102">
        <f t="shared" si="14"/>
        <v>-0.84932183056206101</v>
      </c>
      <c r="Z102">
        <f t="shared" si="14"/>
        <v>-0.23704219075937868</v>
      </c>
      <c r="AA102">
        <f t="shared" si="14"/>
        <v>-0.40313406212136127</v>
      </c>
    </row>
  </sheetData>
  <sortState xmlns:xlrd2="http://schemas.microsoft.com/office/spreadsheetml/2017/richdata2" ref="AN5:AN49">
    <sortCondition descending="1" ref="AN5:AN49"/>
  </sortState>
  <mergeCells count="42">
    <mergeCell ref="AN3:AN4"/>
    <mergeCell ref="AI3:AI4"/>
    <mergeCell ref="AJ3:AJ4"/>
    <mergeCell ref="AK3:AK4"/>
    <mergeCell ref="AL3:AL4"/>
    <mergeCell ref="AM3:AM4"/>
    <mergeCell ref="AD3:AD4"/>
    <mergeCell ref="AE3:AE4"/>
    <mergeCell ref="AF3:AF4"/>
    <mergeCell ref="AG3:AG4"/>
    <mergeCell ref="AH3:AH4"/>
    <mergeCell ref="A50:Q50"/>
    <mergeCell ref="A51:Q51"/>
    <mergeCell ref="W3:W4"/>
    <mergeCell ref="X3:X4"/>
    <mergeCell ref="Y3:Y4"/>
    <mergeCell ref="Z3:Z4"/>
    <mergeCell ref="AA3:AA4"/>
    <mergeCell ref="R3:R4"/>
    <mergeCell ref="S3:S4"/>
    <mergeCell ref="T3:T4"/>
    <mergeCell ref="U3:U4"/>
    <mergeCell ref="V3:V4"/>
    <mergeCell ref="A1:Q1"/>
    <mergeCell ref="A3:A4"/>
    <mergeCell ref="B3:D3"/>
    <mergeCell ref="E3:G3"/>
    <mergeCell ref="H3:J3"/>
    <mergeCell ref="K3:M3"/>
    <mergeCell ref="N3:P3"/>
    <mergeCell ref="Q3:Q4"/>
    <mergeCell ref="Q54:Q55"/>
    <mergeCell ref="R54:R55"/>
    <mergeCell ref="S54:S55"/>
    <mergeCell ref="T54:T55"/>
    <mergeCell ref="U54:U55"/>
    <mergeCell ref="AA54:AA55"/>
    <mergeCell ref="V54:V55"/>
    <mergeCell ref="W54:W55"/>
    <mergeCell ref="X54:X55"/>
    <mergeCell ref="Y54:Y55"/>
    <mergeCell ref="Z54:Z55"/>
  </mergeCells>
  <conditionalFormatting sqref="Q3:Q49">
    <cfRule type="colorScale" priority="57">
      <colorScale>
        <cfvo type="min"/>
        <cfvo type="percentile" val="50"/>
        <cfvo type="max"/>
        <color rgb="FFF8696B"/>
        <color rgb="FFFFEB84"/>
        <color rgb="FF63BE7B"/>
      </colorScale>
    </cfRule>
  </conditionalFormatting>
  <conditionalFormatting sqref="Q54:Q55">
    <cfRule type="colorScale" priority="22">
      <colorScale>
        <cfvo type="min"/>
        <cfvo type="percentile" val="50"/>
        <cfvo type="max"/>
        <color rgb="FFF8696B"/>
        <color rgb="FFFFEB84"/>
        <color rgb="FF63BE7B"/>
      </colorScale>
    </cfRule>
  </conditionalFormatting>
  <conditionalFormatting sqref="Q56:Q100">
    <cfRule type="colorScale" priority="1">
      <colorScale>
        <cfvo type="min"/>
        <cfvo type="percentile" val="50"/>
        <cfvo type="max"/>
        <color rgb="FFF8696B"/>
        <color rgb="FFFFEB84"/>
        <color rgb="FF63BE7B"/>
      </colorScale>
    </cfRule>
  </conditionalFormatting>
  <conditionalFormatting sqref="Q3:R49">
    <cfRule type="colorScale" priority="58">
      <colorScale>
        <cfvo type="min"/>
        <cfvo type="percentile" val="50"/>
        <cfvo type="max"/>
        <color rgb="FFF8696B"/>
        <color rgb="FFFFEB84"/>
        <color rgb="FF63BE7B"/>
      </colorScale>
    </cfRule>
  </conditionalFormatting>
  <conditionalFormatting sqref="Q54:R55">
    <cfRule type="colorScale" priority="23">
      <colorScale>
        <cfvo type="min"/>
        <cfvo type="percentile" val="50"/>
        <cfvo type="max"/>
        <color rgb="FFF8696B"/>
        <color rgb="FFFFEB84"/>
        <color rgb="FF63BE7B"/>
      </colorScale>
    </cfRule>
  </conditionalFormatting>
  <conditionalFormatting sqref="R3:R49">
    <cfRule type="colorScale" priority="56">
      <colorScale>
        <cfvo type="min"/>
        <cfvo type="percentile" val="50"/>
        <cfvo type="max"/>
        <color rgb="FFF8696B"/>
        <color rgb="FFFFEB84"/>
        <color rgb="FF63BE7B"/>
      </colorScale>
    </cfRule>
  </conditionalFormatting>
  <conditionalFormatting sqref="R54:R55">
    <cfRule type="colorScale" priority="21">
      <colorScale>
        <cfvo type="min"/>
        <cfvo type="percentile" val="50"/>
        <cfvo type="max"/>
        <color rgb="FFF8696B"/>
        <color rgb="FFFFEB84"/>
        <color rgb="FF63BE7B"/>
      </colorScale>
    </cfRule>
  </conditionalFormatting>
  <conditionalFormatting sqref="R56:R100">
    <cfRule type="colorScale" priority="2">
      <colorScale>
        <cfvo type="min"/>
        <cfvo type="percentile" val="50"/>
        <cfvo type="max"/>
        <color rgb="FFF8696B"/>
        <color rgb="FFFFEB84"/>
        <color rgb="FF63BE7B"/>
      </colorScale>
    </cfRule>
  </conditionalFormatting>
  <conditionalFormatting sqref="S3:S49">
    <cfRule type="colorScale" priority="55">
      <colorScale>
        <cfvo type="min"/>
        <cfvo type="percentile" val="50"/>
        <cfvo type="max"/>
        <color rgb="FFF8696B"/>
        <color rgb="FFFFEB84"/>
        <color rgb="FF63BE7B"/>
      </colorScale>
    </cfRule>
  </conditionalFormatting>
  <conditionalFormatting sqref="S54:S55">
    <cfRule type="colorScale" priority="20">
      <colorScale>
        <cfvo type="min"/>
        <cfvo type="percentile" val="50"/>
        <cfvo type="max"/>
        <color rgb="FFF8696B"/>
        <color rgb="FFFFEB84"/>
        <color rgb="FF63BE7B"/>
      </colorScale>
    </cfRule>
  </conditionalFormatting>
  <conditionalFormatting sqref="S56:S100">
    <cfRule type="colorScale" priority="3">
      <colorScale>
        <cfvo type="min"/>
        <cfvo type="percentile" val="50"/>
        <cfvo type="max"/>
        <color rgb="FFF8696B"/>
        <color rgb="FFFFEB84"/>
        <color rgb="FF63BE7B"/>
      </colorScale>
    </cfRule>
  </conditionalFormatting>
  <conditionalFormatting sqref="T3:T49">
    <cfRule type="colorScale" priority="54">
      <colorScale>
        <cfvo type="min"/>
        <cfvo type="percentile" val="50"/>
        <cfvo type="max"/>
        <color rgb="FFF8696B"/>
        <color rgb="FFFFEB84"/>
        <color rgb="FF63BE7B"/>
      </colorScale>
    </cfRule>
  </conditionalFormatting>
  <conditionalFormatting sqref="T54:T55">
    <cfRule type="colorScale" priority="19">
      <colorScale>
        <cfvo type="min"/>
        <cfvo type="percentile" val="50"/>
        <cfvo type="max"/>
        <color rgb="FFF8696B"/>
        <color rgb="FFFFEB84"/>
        <color rgb="FF63BE7B"/>
      </colorScale>
    </cfRule>
  </conditionalFormatting>
  <conditionalFormatting sqref="T56:T100">
    <cfRule type="colorScale" priority="4">
      <colorScale>
        <cfvo type="min"/>
        <cfvo type="percentile" val="50"/>
        <cfvo type="max"/>
        <color rgb="FFF8696B"/>
        <color rgb="FFFFEB84"/>
        <color rgb="FF63BE7B"/>
      </colorScale>
    </cfRule>
  </conditionalFormatting>
  <conditionalFormatting sqref="U3:U49">
    <cfRule type="colorScale" priority="53">
      <colorScale>
        <cfvo type="min"/>
        <cfvo type="percentile" val="50"/>
        <cfvo type="max"/>
        <color rgb="FFF8696B"/>
        <color rgb="FFFFEB84"/>
        <color rgb="FF63BE7B"/>
      </colorScale>
    </cfRule>
  </conditionalFormatting>
  <conditionalFormatting sqref="U54:U55">
    <cfRule type="colorScale" priority="18">
      <colorScale>
        <cfvo type="min"/>
        <cfvo type="percentile" val="50"/>
        <cfvo type="max"/>
        <color rgb="FFF8696B"/>
        <color rgb="FFFFEB84"/>
        <color rgb="FF63BE7B"/>
      </colorScale>
    </cfRule>
  </conditionalFormatting>
  <conditionalFormatting sqref="U56:U100">
    <cfRule type="colorScale" priority="5">
      <colorScale>
        <cfvo type="min"/>
        <cfvo type="percentile" val="50"/>
        <cfvo type="max"/>
        <color rgb="FFF8696B"/>
        <color rgb="FFFFEB84"/>
        <color rgb="FF63BE7B"/>
      </colorScale>
    </cfRule>
  </conditionalFormatting>
  <conditionalFormatting sqref="V3:V49">
    <cfRule type="colorScale" priority="52">
      <colorScale>
        <cfvo type="min"/>
        <cfvo type="percentile" val="50"/>
        <cfvo type="max"/>
        <color rgb="FFF8696B"/>
        <color rgb="FFFFEB84"/>
        <color rgb="FF63BE7B"/>
      </colorScale>
    </cfRule>
  </conditionalFormatting>
  <conditionalFormatting sqref="V54:V55">
    <cfRule type="colorScale" priority="17">
      <colorScale>
        <cfvo type="min"/>
        <cfvo type="percentile" val="50"/>
        <cfvo type="max"/>
        <color rgb="FFF8696B"/>
        <color rgb="FFFFEB84"/>
        <color rgb="FF63BE7B"/>
      </colorScale>
    </cfRule>
  </conditionalFormatting>
  <conditionalFormatting sqref="V56:V100">
    <cfRule type="colorScale" priority="6">
      <colorScale>
        <cfvo type="min"/>
        <cfvo type="percentile" val="50"/>
        <cfvo type="max"/>
        <color rgb="FFF8696B"/>
        <color rgb="FFFFEB84"/>
        <color rgb="FF63BE7B"/>
      </colorScale>
    </cfRule>
  </conditionalFormatting>
  <conditionalFormatting sqref="W3:W49">
    <cfRule type="colorScale" priority="51">
      <colorScale>
        <cfvo type="min"/>
        <cfvo type="percentile" val="50"/>
        <cfvo type="max"/>
        <color rgb="FFF8696B"/>
        <color rgb="FFFFEB84"/>
        <color rgb="FF63BE7B"/>
      </colorScale>
    </cfRule>
  </conditionalFormatting>
  <conditionalFormatting sqref="W54:W55">
    <cfRule type="colorScale" priority="16">
      <colorScale>
        <cfvo type="min"/>
        <cfvo type="percentile" val="50"/>
        <cfvo type="max"/>
        <color rgb="FFF8696B"/>
        <color rgb="FFFFEB84"/>
        <color rgb="FF63BE7B"/>
      </colorScale>
    </cfRule>
  </conditionalFormatting>
  <conditionalFormatting sqref="W56:W100">
    <cfRule type="colorScale" priority="7">
      <colorScale>
        <cfvo type="min"/>
        <cfvo type="percentile" val="50"/>
        <cfvo type="max"/>
        <color rgb="FFF8696B"/>
        <color rgb="FFFFEB84"/>
        <color rgb="FF63BE7B"/>
      </colorScale>
    </cfRule>
  </conditionalFormatting>
  <conditionalFormatting sqref="X3:X49">
    <cfRule type="colorScale" priority="50">
      <colorScale>
        <cfvo type="min"/>
        <cfvo type="percentile" val="50"/>
        <cfvo type="max"/>
        <color rgb="FFF8696B"/>
        <color rgb="FFFFEB84"/>
        <color rgb="FF63BE7B"/>
      </colorScale>
    </cfRule>
  </conditionalFormatting>
  <conditionalFormatting sqref="X54:X55">
    <cfRule type="colorScale" priority="15">
      <colorScale>
        <cfvo type="min"/>
        <cfvo type="percentile" val="50"/>
        <cfvo type="max"/>
        <color rgb="FFF8696B"/>
        <color rgb="FFFFEB84"/>
        <color rgb="FF63BE7B"/>
      </colorScale>
    </cfRule>
  </conditionalFormatting>
  <conditionalFormatting sqref="X56:X100">
    <cfRule type="colorScale" priority="8">
      <colorScale>
        <cfvo type="min"/>
        <cfvo type="percentile" val="50"/>
        <cfvo type="max"/>
        <color rgb="FFF8696B"/>
        <color rgb="FFFFEB84"/>
        <color rgb="FF63BE7B"/>
      </colorScale>
    </cfRule>
  </conditionalFormatting>
  <conditionalFormatting sqref="Y3:Y49">
    <cfRule type="colorScale" priority="49">
      <colorScale>
        <cfvo type="min"/>
        <cfvo type="percentile" val="50"/>
        <cfvo type="max"/>
        <color rgb="FFF8696B"/>
        <color rgb="FFFFEB84"/>
        <color rgb="FF63BE7B"/>
      </colorScale>
    </cfRule>
  </conditionalFormatting>
  <conditionalFormatting sqref="Y54:Y55">
    <cfRule type="colorScale" priority="14">
      <colorScale>
        <cfvo type="min"/>
        <cfvo type="percentile" val="50"/>
        <cfvo type="max"/>
        <color rgb="FFF8696B"/>
        <color rgb="FFFFEB84"/>
        <color rgb="FF63BE7B"/>
      </colorScale>
    </cfRule>
  </conditionalFormatting>
  <conditionalFormatting sqref="Y56:Y100">
    <cfRule type="colorScale" priority="9">
      <colorScale>
        <cfvo type="min"/>
        <cfvo type="percentile" val="50"/>
        <cfvo type="max"/>
        <color rgb="FFF8696B"/>
        <color rgb="FFFFEB84"/>
        <color rgb="FF63BE7B"/>
      </colorScale>
    </cfRule>
  </conditionalFormatting>
  <conditionalFormatting sqref="Z3:Z49">
    <cfRule type="colorScale" priority="48">
      <colorScale>
        <cfvo type="min"/>
        <cfvo type="percentile" val="50"/>
        <cfvo type="max"/>
        <color rgb="FFF8696B"/>
        <color rgb="FFFFEB84"/>
        <color rgb="FF63BE7B"/>
      </colorScale>
    </cfRule>
  </conditionalFormatting>
  <conditionalFormatting sqref="Z54:Z55">
    <cfRule type="colorScale" priority="13">
      <colorScale>
        <cfvo type="min"/>
        <cfvo type="percentile" val="50"/>
        <cfvo type="max"/>
        <color rgb="FFF8696B"/>
        <color rgb="FFFFEB84"/>
        <color rgb="FF63BE7B"/>
      </colorScale>
    </cfRule>
  </conditionalFormatting>
  <conditionalFormatting sqref="Z56:Z100">
    <cfRule type="colorScale" priority="10">
      <colorScale>
        <cfvo type="min"/>
        <cfvo type="percentile" val="50"/>
        <cfvo type="max"/>
        <color rgb="FFF8696B"/>
        <color rgb="FFFFEB84"/>
        <color rgb="FF63BE7B"/>
      </colorScale>
    </cfRule>
  </conditionalFormatting>
  <conditionalFormatting sqref="AA3:AA49">
    <cfRule type="colorScale" priority="47">
      <colorScale>
        <cfvo type="min"/>
        <cfvo type="percentile" val="50"/>
        <cfvo type="max"/>
        <color rgb="FFF8696B"/>
        <color rgb="FFFFEB84"/>
        <color rgb="FF63BE7B"/>
      </colorScale>
    </cfRule>
  </conditionalFormatting>
  <conditionalFormatting sqref="AA54:AA55">
    <cfRule type="colorScale" priority="12">
      <colorScale>
        <cfvo type="min"/>
        <cfvo type="percentile" val="50"/>
        <cfvo type="max"/>
        <color rgb="FFF8696B"/>
        <color rgb="FFFFEB84"/>
        <color rgb="FF63BE7B"/>
      </colorScale>
    </cfRule>
  </conditionalFormatting>
  <conditionalFormatting sqref="AA56:AA100">
    <cfRule type="colorScale" priority="11">
      <colorScale>
        <cfvo type="min"/>
        <cfvo type="percentile" val="50"/>
        <cfvo type="max"/>
        <color rgb="FFF8696B"/>
        <color rgb="FFFFEB84"/>
        <color rgb="FF63BE7B"/>
      </colorScale>
    </cfRule>
  </conditionalFormatting>
  <conditionalFormatting sqref="AD3:AD4">
    <cfRule type="colorScale" priority="45">
      <colorScale>
        <cfvo type="min"/>
        <cfvo type="percentile" val="50"/>
        <cfvo type="max"/>
        <color rgb="FFF8696B"/>
        <color rgb="FFFFEB84"/>
        <color rgb="FF63BE7B"/>
      </colorScale>
    </cfRule>
  </conditionalFormatting>
  <conditionalFormatting sqref="AD5:AD49">
    <cfRule type="colorScale" priority="34">
      <colorScale>
        <cfvo type="min"/>
        <cfvo type="percentile" val="50"/>
        <cfvo type="max"/>
        <color rgb="FFF8696B"/>
        <color rgb="FFFFEB84"/>
        <color rgb="FF63BE7B"/>
      </colorScale>
    </cfRule>
  </conditionalFormatting>
  <conditionalFormatting sqref="AD3:AE4">
    <cfRule type="colorScale" priority="46">
      <colorScale>
        <cfvo type="min"/>
        <cfvo type="percentile" val="50"/>
        <cfvo type="max"/>
        <color rgb="FFF8696B"/>
        <color rgb="FFFFEB84"/>
        <color rgb="FF63BE7B"/>
      </colorScale>
    </cfRule>
  </conditionalFormatting>
  <conditionalFormatting sqref="AE3:AE4">
    <cfRule type="colorScale" priority="44">
      <colorScale>
        <cfvo type="min"/>
        <cfvo type="percentile" val="50"/>
        <cfvo type="max"/>
        <color rgb="FFF8696B"/>
        <color rgb="FFFFEB84"/>
        <color rgb="FF63BE7B"/>
      </colorScale>
    </cfRule>
  </conditionalFormatting>
  <conditionalFormatting sqref="AE5:AE49">
    <cfRule type="colorScale" priority="33">
      <colorScale>
        <cfvo type="min"/>
        <cfvo type="percentile" val="50"/>
        <cfvo type="max"/>
        <color rgb="FFF8696B"/>
        <color rgb="FFFFEB84"/>
        <color rgb="FF63BE7B"/>
      </colorScale>
    </cfRule>
  </conditionalFormatting>
  <conditionalFormatting sqref="AF3:AF4">
    <cfRule type="colorScale" priority="43">
      <colorScale>
        <cfvo type="min"/>
        <cfvo type="percentile" val="50"/>
        <cfvo type="max"/>
        <color rgb="FFF8696B"/>
        <color rgb="FFFFEB84"/>
        <color rgb="FF63BE7B"/>
      </colorScale>
    </cfRule>
  </conditionalFormatting>
  <conditionalFormatting sqref="AF5:AF49">
    <cfRule type="colorScale" priority="32">
      <colorScale>
        <cfvo type="min"/>
        <cfvo type="percentile" val="50"/>
        <cfvo type="max"/>
        <color rgb="FFF8696B"/>
        <color rgb="FFFFEB84"/>
        <color rgb="FF63BE7B"/>
      </colorScale>
    </cfRule>
  </conditionalFormatting>
  <conditionalFormatting sqref="AG3:AG4">
    <cfRule type="colorScale" priority="42">
      <colorScale>
        <cfvo type="min"/>
        <cfvo type="percentile" val="50"/>
        <cfvo type="max"/>
        <color rgb="FFF8696B"/>
        <color rgb="FFFFEB84"/>
        <color rgb="FF63BE7B"/>
      </colorScale>
    </cfRule>
  </conditionalFormatting>
  <conditionalFormatting sqref="AG5:AG49">
    <cfRule type="colorScale" priority="31">
      <colorScale>
        <cfvo type="min"/>
        <cfvo type="percentile" val="50"/>
        <cfvo type="max"/>
        <color rgb="FFF8696B"/>
        <color rgb="FFFFEB84"/>
        <color rgb="FF63BE7B"/>
      </colorScale>
    </cfRule>
  </conditionalFormatting>
  <conditionalFormatting sqref="AH3:AH4">
    <cfRule type="colorScale" priority="41">
      <colorScale>
        <cfvo type="min"/>
        <cfvo type="percentile" val="50"/>
        <cfvo type="max"/>
        <color rgb="FFF8696B"/>
        <color rgb="FFFFEB84"/>
        <color rgb="FF63BE7B"/>
      </colorScale>
    </cfRule>
  </conditionalFormatting>
  <conditionalFormatting sqref="AH5:AH49">
    <cfRule type="colorScale" priority="30">
      <colorScale>
        <cfvo type="min"/>
        <cfvo type="percentile" val="50"/>
        <cfvo type="max"/>
        <color rgb="FFF8696B"/>
        <color rgb="FFFFEB84"/>
        <color rgb="FF63BE7B"/>
      </colorScale>
    </cfRule>
  </conditionalFormatting>
  <conditionalFormatting sqref="AI3:AI4">
    <cfRule type="colorScale" priority="40">
      <colorScale>
        <cfvo type="min"/>
        <cfvo type="percentile" val="50"/>
        <cfvo type="max"/>
        <color rgb="FFF8696B"/>
        <color rgb="FFFFEB84"/>
        <color rgb="FF63BE7B"/>
      </colorScale>
    </cfRule>
  </conditionalFormatting>
  <conditionalFormatting sqref="AI5:AI49">
    <cfRule type="colorScale" priority="29">
      <colorScale>
        <cfvo type="min"/>
        <cfvo type="percentile" val="50"/>
        <cfvo type="max"/>
        <color rgb="FFF8696B"/>
        <color rgb="FFFFEB84"/>
        <color rgb="FF63BE7B"/>
      </colorScale>
    </cfRule>
  </conditionalFormatting>
  <conditionalFormatting sqref="AJ3:AJ4">
    <cfRule type="colorScale" priority="39">
      <colorScale>
        <cfvo type="min"/>
        <cfvo type="percentile" val="50"/>
        <cfvo type="max"/>
        <color rgb="FFF8696B"/>
        <color rgb="FFFFEB84"/>
        <color rgb="FF63BE7B"/>
      </colorScale>
    </cfRule>
  </conditionalFormatting>
  <conditionalFormatting sqref="AJ5:AJ49">
    <cfRule type="colorScale" priority="28">
      <colorScale>
        <cfvo type="min"/>
        <cfvo type="percentile" val="50"/>
        <cfvo type="max"/>
        <color rgb="FFF8696B"/>
        <color rgb="FFFFEB84"/>
        <color rgb="FF63BE7B"/>
      </colorScale>
    </cfRule>
  </conditionalFormatting>
  <conditionalFormatting sqref="AK3:AK4">
    <cfRule type="colorScale" priority="38">
      <colorScale>
        <cfvo type="min"/>
        <cfvo type="percentile" val="50"/>
        <cfvo type="max"/>
        <color rgb="FFF8696B"/>
        <color rgb="FFFFEB84"/>
        <color rgb="FF63BE7B"/>
      </colorScale>
    </cfRule>
  </conditionalFormatting>
  <conditionalFormatting sqref="AK5:AK49">
    <cfRule type="colorScale" priority="27">
      <colorScale>
        <cfvo type="min"/>
        <cfvo type="percentile" val="50"/>
        <cfvo type="max"/>
        <color rgb="FFF8696B"/>
        <color rgb="FFFFEB84"/>
        <color rgb="FF63BE7B"/>
      </colorScale>
    </cfRule>
  </conditionalFormatting>
  <conditionalFormatting sqref="AL3:AL4">
    <cfRule type="colorScale" priority="37">
      <colorScale>
        <cfvo type="min"/>
        <cfvo type="percentile" val="50"/>
        <cfvo type="max"/>
        <color rgb="FFF8696B"/>
        <color rgb="FFFFEB84"/>
        <color rgb="FF63BE7B"/>
      </colorScale>
    </cfRule>
  </conditionalFormatting>
  <conditionalFormatting sqref="AL5:AL49">
    <cfRule type="colorScale" priority="26">
      <colorScale>
        <cfvo type="min"/>
        <cfvo type="percentile" val="50"/>
        <cfvo type="max"/>
        <color rgb="FFF8696B"/>
        <color rgb="FFFFEB84"/>
        <color rgb="FF63BE7B"/>
      </colorScale>
    </cfRule>
  </conditionalFormatting>
  <conditionalFormatting sqref="AM3:AM4">
    <cfRule type="colorScale" priority="36">
      <colorScale>
        <cfvo type="min"/>
        <cfvo type="percentile" val="50"/>
        <cfvo type="max"/>
        <color rgb="FFF8696B"/>
        <color rgb="FFFFEB84"/>
        <color rgb="FF63BE7B"/>
      </colorScale>
    </cfRule>
  </conditionalFormatting>
  <conditionalFormatting sqref="AM5:AM49">
    <cfRule type="colorScale" priority="25">
      <colorScale>
        <cfvo type="min"/>
        <cfvo type="percentile" val="50"/>
        <cfvo type="max"/>
        <color rgb="FFF8696B"/>
        <color rgb="FFFFEB84"/>
        <color rgb="FF63BE7B"/>
      </colorScale>
    </cfRule>
  </conditionalFormatting>
  <conditionalFormatting sqref="AN3:AN4">
    <cfRule type="colorScale" priority="35">
      <colorScale>
        <cfvo type="min"/>
        <cfvo type="percentile" val="50"/>
        <cfvo type="max"/>
        <color rgb="FFF8696B"/>
        <color rgb="FFFFEB84"/>
        <color rgb="FF63BE7B"/>
      </colorScale>
    </cfRule>
  </conditionalFormatting>
  <conditionalFormatting sqref="AN5:AN49">
    <cfRule type="colorScale" priority="24">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A16"/>
  <sheetViews>
    <sheetView topLeftCell="J1" workbookViewId="0">
      <selection activeCell="A4" sqref="A4:AA15"/>
    </sheetView>
  </sheetViews>
  <sheetFormatPr defaultRowHeight="13.2"/>
  <cols>
    <col min="1" max="1" width="56.77734375" customWidth="1"/>
    <col min="2" max="4" width="14.44140625" customWidth="1"/>
    <col min="5" max="5" width="14.109375" customWidth="1"/>
    <col min="6" max="8" width="14.44140625" customWidth="1"/>
    <col min="9" max="9" width="12.6640625" customWidth="1"/>
    <col min="10" max="11" width="12.77734375" customWidth="1"/>
    <col min="12" max="12" width="11.109375" customWidth="1"/>
    <col min="13" max="13" width="12.6640625" customWidth="1"/>
    <col min="14" max="16" width="12.77734375" customWidth="1"/>
    <col min="17" max="17" width="9" bestFit="1" customWidth="1"/>
  </cols>
  <sheetData>
    <row r="1" spans="1:27" ht="42.75" customHeight="1">
      <c r="A1" s="321" t="s">
        <v>311</v>
      </c>
      <c r="B1" s="321"/>
      <c r="C1" s="321"/>
      <c r="D1" s="321"/>
      <c r="E1" s="321"/>
      <c r="F1" s="321"/>
      <c r="G1" s="321"/>
      <c r="H1" s="321"/>
      <c r="I1" s="321"/>
      <c r="J1" s="321"/>
      <c r="K1" s="321"/>
      <c r="L1" s="321"/>
      <c r="M1" s="321"/>
      <c r="N1" s="321"/>
      <c r="O1" s="321"/>
      <c r="P1" s="321"/>
      <c r="Q1" s="321"/>
    </row>
    <row r="2" spans="1:27" ht="13.95" customHeight="1">
      <c r="A2" s="339" t="s">
        <v>312</v>
      </c>
      <c r="B2" s="355" t="s">
        <v>232</v>
      </c>
      <c r="C2" s="356"/>
      <c r="D2" s="357"/>
      <c r="E2" s="358" t="s">
        <v>218</v>
      </c>
      <c r="F2" s="359"/>
      <c r="G2" s="360"/>
      <c r="H2" s="361" t="s">
        <v>219</v>
      </c>
      <c r="I2" s="362"/>
      <c r="J2" s="363"/>
      <c r="K2" s="364" t="s">
        <v>221</v>
      </c>
      <c r="L2" s="365"/>
      <c r="M2" s="366"/>
      <c r="N2" s="367" t="s">
        <v>223</v>
      </c>
      <c r="O2" s="368"/>
      <c r="P2" s="369"/>
      <c r="Q2" s="337" t="s">
        <v>287</v>
      </c>
      <c r="R2" s="320" t="s">
        <v>288</v>
      </c>
      <c r="S2" s="320" t="s">
        <v>313</v>
      </c>
      <c r="T2" s="320" t="s">
        <v>314</v>
      </c>
      <c r="U2" s="320" t="s">
        <v>315</v>
      </c>
      <c r="V2" s="320" t="s">
        <v>316</v>
      </c>
      <c r="W2" s="320" t="s">
        <v>317</v>
      </c>
      <c r="X2" s="320" t="s">
        <v>318</v>
      </c>
      <c r="Y2" s="320" t="s">
        <v>319</v>
      </c>
      <c r="Z2" s="320" t="s">
        <v>320</v>
      </c>
      <c r="AA2" s="320" t="s">
        <v>321</v>
      </c>
    </row>
    <row r="3" spans="1:27" ht="13.95" customHeight="1">
      <c r="A3" s="341"/>
      <c r="B3" s="165" t="s">
        <v>167</v>
      </c>
      <c r="C3" s="41" t="s">
        <v>282</v>
      </c>
      <c r="D3" s="23" t="s">
        <v>283</v>
      </c>
      <c r="E3" s="168" t="s">
        <v>167</v>
      </c>
      <c r="F3" s="41" t="s">
        <v>282</v>
      </c>
      <c r="G3" s="23" t="s">
        <v>283</v>
      </c>
      <c r="H3" s="171" t="s">
        <v>167</v>
      </c>
      <c r="I3" s="41" t="s">
        <v>282</v>
      </c>
      <c r="J3" s="23" t="s">
        <v>283</v>
      </c>
      <c r="K3" s="174" t="s">
        <v>167</v>
      </c>
      <c r="L3" s="5" t="s">
        <v>282</v>
      </c>
      <c r="M3" s="23" t="s">
        <v>283</v>
      </c>
      <c r="N3" s="108" t="s">
        <v>78</v>
      </c>
      <c r="O3" s="41" t="s">
        <v>282</v>
      </c>
      <c r="P3" s="23" t="s">
        <v>283</v>
      </c>
      <c r="Q3" s="337"/>
      <c r="R3" s="320"/>
      <c r="S3" s="320"/>
      <c r="T3" s="320"/>
      <c r="U3" s="320"/>
      <c r="V3" s="320"/>
      <c r="W3" s="320"/>
      <c r="X3" s="320"/>
      <c r="Y3" s="320"/>
      <c r="Z3" s="320"/>
      <c r="AA3" s="320"/>
    </row>
    <row r="4" spans="1:27" ht="12.45" customHeight="1">
      <c r="A4" s="17" t="s">
        <v>175</v>
      </c>
      <c r="B4" s="126">
        <v>7975000</v>
      </c>
      <c r="C4" s="7">
        <v>4380000</v>
      </c>
      <c r="D4" s="7">
        <v>3595000</v>
      </c>
      <c r="E4" s="169">
        <v>4119000</v>
      </c>
      <c r="F4" s="7">
        <v>2335000</v>
      </c>
      <c r="G4" s="7">
        <v>1784000</v>
      </c>
      <c r="H4" s="172">
        <v>2247000</v>
      </c>
      <c r="I4" s="7">
        <v>1327000</v>
      </c>
      <c r="J4" s="7">
        <v>920000</v>
      </c>
      <c r="K4" s="175">
        <v>336000</v>
      </c>
      <c r="L4" s="7">
        <v>171000</v>
      </c>
      <c r="M4" s="7">
        <v>165000</v>
      </c>
      <c r="N4" s="177">
        <v>1273000</v>
      </c>
      <c r="O4" s="7">
        <v>546000</v>
      </c>
      <c r="P4" s="7">
        <v>726000</v>
      </c>
      <c r="Q4" s="204">
        <f>C4/$B4</f>
        <v>0.54921630094043883</v>
      </c>
      <c r="R4" s="204">
        <f t="shared" ref="R4:Z4" si="0">D4/$B4</f>
        <v>0.45078369905956112</v>
      </c>
      <c r="S4" s="204">
        <f t="shared" si="0"/>
        <v>0.51648902821316611</v>
      </c>
      <c r="T4" s="204">
        <f t="shared" si="0"/>
        <v>0.2927899686520376</v>
      </c>
      <c r="U4" s="204">
        <f t="shared" si="0"/>
        <v>0.22369905956112854</v>
      </c>
      <c r="V4" s="204">
        <f t="shared" si="0"/>
        <v>0.28175548589341692</v>
      </c>
      <c r="W4" s="204">
        <f t="shared" si="0"/>
        <v>0.16639498432601882</v>
      </c>
      <c r="X4" s="204">
        <f t="shared" si="0"/>
        <v>0.11536050156739812</v>
      </c>
      <c r="Y4" s="204">
        <f t="shared" si="0"/>
        <v>4.2131661442006273E-2</v>
      </c>
      <c r="Z4" s="204">
        <f t="shared" si="0"/>
        <v>2.1442006269592476E-2</v>
      </c>
      <c r="AA4" s="204">
        <f>M4/$B4</f>
        <v>2.0689655172413793E-2</v>
      </c>
    </row>
    <row r="5" spans="1:27" ht="12.45" customHeight="1">
      <c r="A5" s="10" t="s">
        <v>323</v>
      </c>
      <c r="B5" s="166">
        <v>1189000</v>
      </c>
      <c r="C5" s="9">
        <v>763000</v>
      </c>
      <c r="D5" s="9">
        <v>426000</v>
      </c>
      <c r="E5" s="119">
        <v>805000</v>
      </c>
      <c r="F5" s="9">
        <v>497000</v>
      </c>
      <c r="G5" s="9">
        <v>309000</v>
      </c>
      <c r="H5" s="143">
        <v>232000</v>
      </c>
      <c r="I5" s="9">
        <v>168000</v>
      </c>
      <c r="J5" s="9">
        <v>64000</v>
      </c>
      <c r="K5" s="137">
        <v>22000</v>
      </c>
      <c r="L5" s="9">
        <v>13000</v>
      </c>
      <c r="M5" s="9">
        <v>9000</v>
      </c>
      <c r="N5" s="104">
        <v>130000</v>
      </c>
      <c r="O5" s="9">
        <v>86000</v>
      </c>
      <c r="P5" s="9">
        <v>44000</v>
      </c>
      <c r="Q5" s="204">
        <f t="shared" ref="Q5:Q13" si="1">C5/$B5</f>
        <v>0.6417157275021026</v>
      </c>
      <c r="R5" s="204">
        <f t="shared" ref="R5:R13" si="2">D5/$B5</f>
        <v>0.3582842724978974</v>
      </c>
      <c r="S5" s="204">
        <f t="shared" ref="S5:S13" si="3">E5/$B5</f>
        <v>0.67703952901597986</v>
      </c>
      <c r="T5" s="204">
        <f t="shared" ref="T5:T13" si="4">F5/$B5</f>
        <v>0.4179983179142136</v>
      </c>
      <c r="U5" s="204">
        <f t="shared" ref="U5:U13" si="5">G5/$B5</f>
        <v>0.25988225399495374</v>
      </c>
      <c r="V5" s="204">
        <f t="shared" ref="V5:V13" si="6">H5/$B5</f>
        <v>0.1951219512195122</v>
      </c>
      <c r="W5" s="204">
        <f t="shared" ref="W5:W13" si="7">I5/$B5</f>
        <v>0.14129520605550883</v>
      </c>
      <c r="X5" s="204">
        <f t="shared" ref="X5:X13" si="8">J5/$B5</f>
        <v>5.3826745164003362E-2</v>
      </c>
      <c r="Y5" s="204">
        <f t="shared" ref="Y5:Y13" si="9">K5/$B5</f>
        <v>1.8502943650126155E-2</v>
      </c>
      <c r="Z5" s="204">
        <f t="shared" ref="Z5:Z13" si="10">L5/$B5</f>
        <v>1.0933557611438183E-2</v>
      </c>
      <c r="AA5" s="204">
        <f t="shared" ref="AA5:AA13" si="11">M5/$B5</f>
        <v>7.569386038687973E-3</v>
      </c>
    </row>
    <row r="6" spans="1:27" ht="12.45" customHeight="1">
      <c r="A6" s="10" t="s">
        <v>324</v>
      </c>
      <c r="B6" s="166">
        <v>2366000</v>
      </c>
      <c r="C6" s="9">
        <v>1350000</v>
      </c>
      <c r="D6" s="9">
        <v>1016000</v>
      </c>
      <c r="E6" s="119">
        <v>1136000</v>
      </c>
      <c r="F6" s="9">
        <v>642000</v>
      </c>
      <c r="G6" s="9">
        <v>494000</v>
      </c>
      <c r="H6" s="143">
        <v>696000</v>
      </c>
      <c r="I6" s="9">
        <v>421000</v>
      </c>
      <c r="J6" s="9">
        <v>275000</v>
      </c>
      <c r="K6" s="137">
        <v>103000</v>
      </c>
      <c r="L6" s="9">
        <v>53000</v>
      </c>
      <c r="M6" s="9">
        <v>50000</v>
      </c>
      <c r="N6" s="104">
        <v>431000</v>
      </c>
      <c r="O6" s="9">
        <v>233000</v>
      </c>
      <c r="P6" s="9">
        <v>198000</v>
      </c>
      <c r="Q6" s="204">
        <f t="shared" si="1"/>
        <v>0.57058326289095518</v>
      </c>
      <c r="R6" s="204">
        <f t="shared" si="2"/>
        <v>0.42941673710904482</v>
      </c>
      <c r="S6" s="204">
        <f t="shared" si="3"/>
        <v>0.48013524936601859</v>
      </c>
      <c r="T6" s="204">
        <f t="shared" si="4"/>
        <v>0.27134404057480982</v>
      </c>
      <c r="U6" s="204">
        <f t="shared" si="5"/>
        <v>0.2087912087912088</v>
      </c>
      <c r="V6" s="204">
        <f t="shared" si="6"/>
        <v>0.29416737109044799</v>
      </c>
      <c r="W6" s="204">
        <f t="shared" si="7"/>
        <v>0.17793744716821641</v>
      </c>
      <c r="X6" s="204">
        <f t="shared" si="8"/>
        <v>0.11622992392223161</v>
      </c>
      <c r="Y6" s="204">
        <f t="shared" si="9"/>
        <v>4.3533389687235843E-2</v>
      </c>
      <c r="Z6" s="204">
        <f t="shared" si="10"/>
        <v>2.2400676246830092E-2</v>
      </c>
      <c r="AA6" s="204">
        <f t="shared" si="11"/>
        <v>2.1132713440405747E-2</v>
      </c>
    </row>
    <row r="7" spans="1:27" ht="12.45" customHeight="1">
      <c r="A7" s="10" t="s">
        <v>325</v>
      </c>
      <c r="B7" s="166">
        <v>1982000</v>
      </c>
      <c r="C7" s="9">
        <v>1055000</v>
      </c>
      <c r="D7" s="9">
        <v>926000</v>
      </c>
      <c r="E7" s="119">
        <v>937000</v>
      </c>
      <c r="F7" s="9">
        <v>512000</v>
      </c>
      <c r="G7" s="9">
        <v>424000</v>
      </c>
      <c r="H7" s="143">
        <v>617000</v>
      </c>
      <c r="I7" s="9">
        <v>361000</v>
      </c>
      <c r="J7" s="9">
        <v>257000</v>
      </c>
      <c r="K7" s="137">
        <v>99000</v>
      </c>
      <c r="L7" s="9">
        <v>51000</v>
      </c>
      <c r="M7" s="9">
        <v>48000</v>
      </c>
      <c r="N7" s="104">
        <v>329000</v>
      </c>
      <c r="O7" s="9">
        <v>132000</v>
      </c>
      <c r="P7" s="9">
        <v>197000</v>
      </c>
      <c r="Q7" s="204">
        <f t="shared" si="1"/>
        <v>0.53229061553985868</v>
      </c>
      <c r="R7" s="204">
        <f t="shared" si="2"/>
        <v>0.467204843592331</v>
      </c>
      <c r="S7" s="204">
        <f t="shared" si="3"/>
        <v>0.4727547931382442</v>
      </c>
      <c r="T7" s="204">
        <f t="shared" si="4"/>
        <v>0.25832492431886983</v>
      </c>
      <c r="U7" s="204">
        <f t="shared" si="5"/>
        <v>0.21392532795156408</v>
      </c>
      <c r="V7" s="204">
        <f t="shared" si="6"/>
        <v>0.31130171543895058</v>
      </c>
      <c r="W7" s="204">
        <f t="shared" si="7"/>
        <v>0.18213925327951563</v>
      </c>
      <c r="X7" s="204">
        <f t="shared" si="8"/>
        <v>0.12966700302724521</v>
      </c>
      <c r="Y7" s="204">
        <f t="shared" si="9"/>
        <v>4.9949545913218971E-2</v>
      </c>
      <c r="Z7" s="204">
        <f t="shared" si="10"/>
        <v>2.5731584258324926E-2</v>
      </c>
      <c r="AA7" s="204">
        <f t="shared" si="11"/>
        <v>2.4217961654894045E-2</v>
      </c>
    </row>
    <row r="8" spans="1:27" ht="12.45" customHeight="1">
      <c r="A8" s="10" t="s">
        <v>326</v>
      </c>
      <c r="B8" s="166">
        <v>2438000</v>
      </c>
      <c r="C8" s="9">
        <v>1211000</v>
      </c>
      <c r="D8" s="9">
        <v>1227000</v>
      </c>
      <c r="E8" s="119">
        <v>1241000</v>
      </c>
      <c r="F8" s="9">
        <v>684000</v>
      </c>
      <c r="G8" s="9">
        <v>557000</v>
      </c>
      <c r="H8" s="143">
        <v>702000</v>
      </c>
      <c r="I8" s="9">
        <v>378000</v>
      </c>
      <c r="J8" s="9">
        <v>324000</v>
      </c>
      <c r="K8" s="137">
        <v>113000</v>
      </c>
      <c r="L8" s="9">
        <v>54000</v>
      </c>
      <c r="M8" s="9">
        <v>59000</v>
      </c>
      <c r="N8" s="104">
        <v>383000</v>
      </c>
      <c r="O8" s="9">
        <v>96000</v>
      </c>
      <c r="P8" s="9">
        <v>287000</v>
      </c>
      <c r="Q8" s="204">
        <f t="shared" si="1"/>
        <v>0.49671862182116489</v>
      </c>
      <c r="R8" s="204">
        <f t="shared" si="2"/>
        <v>0.50328137817883511</v>
      </c>
      <c r="S8" s="204">
        <f t="shared" si="3"/>
        <v>0.50902378999179654</v>
      </c>
      <c r="T8" s="204">
        <f t="shared" si="4"/>
        <v>0.28055783429040199</v>
      </c>
      <c r="U8" s="204">
        <f t="shared" si="5"/>
        <v>0.22846595570139458</v>
      </c>
      <c r="V8" s="204">
        <f t="shared" si="6"/>
        <v>0.28794093519278097</v>
      </c>
      <c r="W8" s="204">
        <f t="shared" si="7"/>
        <v>0.15504511894995898</v>
      </c>
      <c r="X8" s="204">
        <f t="shared" si="8"/>
        <v>0.13289581624282198</v>
      </c>
      <c r="Y8" s="204">
        <f t="shared" si="9"/>
        <v>4.6349466776045942E-2</v>
      </c>
      <c r="Z8" s="204">
        <f t="shared" si="10"/>
        <v>2.2149302707136997E-2</v>
      </c>
      <c r="AA8" s="204">
        <f t="shared" si="11"/>
        <v>2.4200164068908941E-2</v>
      </c>
    </row>
    <row r="9" spans="1:27" ht="12.45" customHeight="1">
      <c r="A9" s="8" t="s">
        <v>176</v>
      </c>
      <c r="B9" s="166">
        <v>28948000</v>
      </c>
      <c r="C9" s="9">
        <v>15216000</v>
      </c>
      <c r="D9" s="9">
        <v>13732000</v>
      </c>
      <c r="E9" s="119">
        <v>18611000</v>
      </c>
      <c r="F9" s="9">
        <v>9339000</v>
      </c>
      <c r="G9" s="9">
        <v>9271000</v>
      </c>
      <c r="H9" s="143">
        <v>8274000</v>
      </c>
      <c r="I9" s="9">
        <v>4956000</v>
      </c>
      <c r="J9" s="9">
        <v>3318000</v>
      </c>
      <c r="K9" s="137">
        <v>676000</v>
      </c>
      <c r="L9" s="9">
        <v>291000</v>
      </c>
      <c r="M9" s="9">
        <v>385000</v>
      </c>
      <c r="N9" s="104">
        <v>1387000</v>
      </c>
      <c r="O9" s="9">
        <v>630000</v>
      </c>
      <c r="P9" s="9">
        <v>758000</v>
      </c>
      <c r="Q9" s="204">
        <f t="shared" si="1"/>
        <v>0.5256321680254249</v>
      </c>
      <c r="R9" s="204">
        <f t="shared" si="2"/>
        <v>0.4743678319745751</v>
      </c>
      <c r="S9" s="204">
        <f t="shared" si="3"/>
        <v>0.64291142738703888</v>
      </c>
      <c r="T9" s="204">
        <f t="shared" si="4"/>
        <v>0.32261296117175625</v>
      </c>
      <c r="U9" s="204">
        <f t="shared" si="5"/>
        <v>0.32026392151443966</v>
      </c>
      <c r="V9" s="204">
        <f t="shared" si="6"/>
        <v>0.28582285477407765</v>
      </c>
      <c r="W9" s="204">
        <f t="shared" si="7"/>
        <v>0.17120353737736632</v>
      </c>
      <c r="X9" s="204">
        <f t="shared" si="8"/>
        <v>0.11461931739671134</v>
      </c>
      <c r="Y9" s="204">
        <f t="shared" si="9"/>
        <v>2.3352217769794112E-2</v>
      </c>
      <c r="Z9" s="204">
        <f t="shared" si="10"/>
        <v>1.0052507945281194E-2</v>
      </c>
      <c r="AA9" s="204">
        <f t="shared" si="11"/>
        <v>1.329970982451292E-2</v>
      </c>
    </row>
    <row r="10" spans="1:27" ht="12.45" customHeight="1">
      <c r="A10" s="10" t="s">
        <v>323</v>
      </c>
      <c r="B10" s="166">
        <v>3967000</v>
      </c>
      <c r="C10" s="9">
        <v>2408000</v>
      </c>
      <c r="D10" s="9">
        <v>1560000</v>
      </c>
      <c r="E10" s="119">
        <v>3106000</v>
      </c>
      <c r="F10" s="9">
        <v>1806000</v>
      </c>
      <c r="G10" s="9">
        <v>1299000</v>
      </c>
      <c r="H10" s="143">
        <v>740000</v>
      </c>
      <c r="I10" s="9">
        <v>528000</v>
      </c>
      <c r="J10" s="9">
        <v>212000</v>
      </c>
      <c r="K10" s="159" t="s">
        <v>191</v>
      </c>
      <c r="L10" s="13" t="s">
        <v>191</v>
      </c>
      <c r="M10" s="13" t="s">
        <v>191</v>
      </c>
      <c r="N10" s="104">
        <v>116000</v>
      </c>
      <c r="O10" s="9">
        <v>70000</v>
      </c>
      <c r="P10" s="9">
        <v>46000</v>
      </c>
      <c r="Q10" s="204">
        <f t="shared" si="1"/>
        <v>0.60700781446937235</v>
      </c>
      <c r="R10" s="204">
        <f t="shared" si="2"/>
        <v>0.39324426518779937</v>
      </c>
      <c r="S10" s="204">
        <f t="shared" si="3"/>
        <v>0.78295941517519541</v>
      </c>
      <c r="T10" s="204">
        <f t="shared" si="4"/>
        <v>0.45525586085202924</v>
      </c>
      <c r="U10" s="204">
        <f t="shared" si="5"/>
        <v>0.32745147466599445</v>
      </c>
      <c r="V10" s="204">
        <f t="shared" si="6"/>
        <v>0.18653894630703302</v>
      </c>
      <c r="W10" s="204">
        <f t="shared" si="7"/>
        <v>0.13309805898663979</v>
      </c>
      <c r="X10" s="204">
        <f t="shared" si="8"/>
        <v>5.3440887320393246E-2</v>
      </c>
      <c r="Y10" s="204" t="e">
        <f t="shared" si="9"/>
        <v>#VALUE!</v>
      </c>
      <c r="Z10" s="204" t="e">
        <f t="shared" si="10"/>
        <v>#VALUE!</v>
      </c>
      <c r="AA10" s="204" t="e">
        <f t="shared" si="11"/>
        <v>#VALUE!</v>
      </c>
    </row>
    <row r="11" spans="1:27" ht="12.45" customHeight="1">
      <c r="A11" s="10" t="s">
        <v>324</v>
      </c>
      <c r="B11" s="166">
        <v>7849000</v>
      </c>
      <c r="C11" s="9">
        <v>4284000</v>
      </c>
      <c r="D11" s="9">
        <v>3564000</v>
      </c>
      <c r="E11" s="119">
        <v>5065000</v>
      </c>
      <c r="F11" s="9">
        <v>2617000</v>
      </c>
      <c r="G11" s="9">
        <v>2448000</v>
      </c>
      <c r="H11" s="143">
        <v>2339000</v>
      </c>
      <c r="I11" s="9">
        <v>1434000</v>
      </c>
      <c r="J11" s="9">
        <v>905000</v>
      </c>
      <c r="K11" s="137">
        <v>107000</v>
      </c>
      <c r="L11" s="9">
        <v>55000</v>
      </c>
      <c r="M11" s="9">
        <v>52000</v>
      </c>
      <c r="N11" s="104">
        <v>338000</v>
      </c>
      <c r="O11" s="9">
        <v>179000</v>
      </c>
      <c r="P11" s="9">
        <v>159000</v>
      </c>
      <c r="Q11" s="204">
        <f t="shared" si="1"/>
        <v>0.54580201299528608</v>
      </c>
      <c r="R11" s="204">
        <f t="shared" si="2"/>
        <v>0.45407058223977576</v>
      </c>
      <c r="S11" s="204">
        <f t="shared" si="3"/>
        <v>0.64530513441202697</v>
      </c>
      <c r="T11" s="204">
        <f t="shared" si="4"/>
        <v>0.33341826984329215</v>
      </c>
      <c r="U11" s="204">
        <f t="shared" si="5"/>
        <v>0.31188686456873488</v>
      </c>
      <c r="V11" s="204">
        <f t="shared" si="6"/>
        <v>0.29799974519047012</v>
      </c>
      <c r="W11" s="204">
        <f t="shared" si="7"/>
        <v>0.18269843292139126</v>
      </c>
      <c r="X11" s="204">
        <f t="shared" si="8"/>
        <v>0.11530131226907886</v>
      </c>
      <c r="Y11" s="204">
        <f t="shared" si="9"/>
        <v>1.3632309848388331E-2</v>
      </c>
      <c r="Z11" s="204">
        <f t="shared" si="10"/>
        <v>7.0072620716014776E-3</v>
      </c>
      <c r="AA11" s="204">
        <f t="shared" si="11"/>
        <v>6.6250477767868521E-3</v>
      </c>
    </row>
    <row r="12" spans="1:27" ht="12.45" customHeight="1">
      <c r="A12" s="10" t="s">
        <v>325</v>
      </c>
      <c r="B12" s="166">
        <v>7209000</v>
      </c>
      <c r="C12" s="9">
        <v>3888000</v>
      </c>
      <c r="D12" s="9">
        <v>3322000</v>
      </c>
      <c r="E12" s="119">
        <v>4217000</v>
      </c>
      <c r="F12" s="9">
        <v>2121000</v>
      </c>
      <c r="G12" s="9">
        <v>2096000</v>
      </c>
      <c r="H12" s="143">
        <v>2439000</v>
      </c>
      <c r="I12" s="9">
        <v>1479000</v>
      </c>
      <c r="J12" s="9">
        <v>960000</v>
      </c>
      <c r="K12" s="137">
        <v>178000</v>
      </c>
      <c r="L12" s="9">
        <v>79000</v>
      </c>
      <c r="M12" s="9">
        <v>99000</v>
      </c>
      <c r="N12" s="104">
        <v>375000</v>
      </c>
      <c r="O12" s="9">
        <v>209000</v>
      </c>
      <c r="P12" s="9">
        <v>167000</v>
      </c>
      <c r="Q12" s="204">
        <f t="shared" si="1"/>
        <v>0.5393258426966292</v>
      </c>
      <c r="R12" s="204">
        <f t="shared" si="2"/>
        <v>0.46081287279789152</v>
      </c>
      <c r="S12" s="204">
        <f t="shared" si="3"/>
        <v>0.58496324039395198</v>
      </c>
      <c r="T12" s="204">
        <f t="shared" si="4"/>
        <v>0.29421556387848524</v>
      </c>
      <c r="U12" s="204">
        <f t="shared" si="5"/>
        <v>0.29074767651546679</v>
      </c>
      <c r="V12" s="204">
        <f t="shared" si="6"/>
        <v>0.33832709113607989</v>
      </c>
      <c r="W12" s="204">
        <f t="shared" si="7"/>
        <v>0.20516021639617146</v>
      </c>
      <c r="X12" s="204">
        <f t="shared" si="8"/>
        <v>0.13316687473990846</v>
      </c>
      <c r="Y12" s="204">
        <f t="shared" si="9"/>
        <v>2.4691358024691357E-2</v>
      </c>
      <c r="Z12" s="204">
        <f t="shared" si="10"/>
        <v>1.0958524067138299E-2</v>
      </c>
      <c r="AA12" s="204">
        <f t="shared" si="11"/>
        <v>1.3732833957553059E-2</v>
      </c>
    </row>
    <row r="13" spans="1:27" ht="12.45" customHeight="1">
      <c r="A13" s="20" t="s">
        <v>326</v>
      </c>
      <c r="B13" s="182">
        <v>9923000</v>
      </c>
      <c r="C13" s="21">
        <v>4637000</v>
      </c>
      <c r="D13" s="21">
        <v>5286000</v>
      </c>
      <c r="E13" s="181">
        <v>6222000</v>
      </c>
      <c r="F13" s="21">
        <v>2795000</v>
      </c>
      <c r="G13" s="21">
        <v>3428000</v>
      </c>
      <c r="H13" s="179">
        <v>2757000</v>
      </c>
      <c r="I13" s="21">
        <v>1516000</v>
      </c>
      <c r="J13" s="21">
        <v>1240000</v>
      </c>
      <c r="K13" s="180">
        <v>386000</v>
      </c>
      <c r="L13" s="21">
        <v>153000</v>
      </c>
      <c r="M13" s="21">
        <v>233000</v>
      </c>
      <c r="N13" s="178">
        <v>558000</v>
      </c>
      <c r="O13" s="21">
        <v>172000</v>
      </c>
      <c r="P13" s="21">
        <v>386000</v>
      </c>
      <c r="Q13" s="204">
        <f t="shared" si="1"/>
        <v>0.46729819611004736</v>
      </c>
      <c r="R13" s="204">
        <f t="shared" si="2"/>
        <v>0.53270180388995259</v>
      </c>
      <c r="S13" s="204">
        <f t="shared" si="3"/>
        <v>0.62702811649702705</v>
      </c>
      <c r="T13" s="204">
        <f t="shared" si="4"/>
        <v>0.28166885014612514</v>
      </c>
      <c r="U13" s="204">
        <f t="shared" si="5"/>
        <v>0.34546004232590949</v>
      </c>
      <c r="V13" s="204">
        <f t="shared" si="6"/>
        <v>0.27783936309583795</v>
      </c>
      <c r="W13" s="204">
        <f t="shared" si="7"/>
        <v>0.15277637811145822</v>
      </c>
      <c r="X13" s="204">
        <f t="shared" si="8"/>
        <v>0.12496220900937216</v>
      </c>
      <c r="Y13" s="204">
        <f t="shared" si="9"/>
        <v>3.8899526352917463E-2</v>
      </c>
      <c r="Z13" s="204">
        <f t="shared" si="10"/>
        <v>1.5418724176156404E-2</v>
      </c>
      <c r="AA13" s="204">
        <f t="shared" si="11"/>
        <v>2.3480802176761059E-2</v>
      </c>
    </row>
    <row r="14" spans="1:27" ht="11.25" customHeight="1">
      <c r="A14" s="344" t="s">
        <v>224</v>
      </c>
      <c r="B14" s="344"/>
      <c r="C14" s="344"/>
      <c r="D14" s="344"/>
      <c r="E14" s="344"/>
      <c r="F14" s="344"/>
      <c r="G14" s="344"/>
      <c r="H14" s="344"/>
      <c r="I14" s="344"/>
      <c r="J14" s="344"/>
      <c r="K14" s="344"/>
      <c r="L14" s="344"/>
      <c r="M14" s="344"/>
      <c r="N14" s="344"/>
      <c r="O14" s="344"/>
      <c r="P14" s="344"/>
      <c r="Q14" s="344"/>
    </row>
    <row r="15" spans="1:27" ht="70.2" customHeight="1">
      <c r="A15" s="321" t="s">
        <v>327</v>
      </c>
      <c r="B15" s="321"/>
      <c r="C15" s="321"/>
      <c r="D15" s="321"/>
      <c r="E15" s="321"/>
      <c r="F15" s="321"/>
      <c r="G15" s="321"/>
      <c r="H15" s="321"/>
      <c r="I15" s="321"/>
      <c r="J15" s="321"/>
      <c r="K15" s="321"/>
      <c r="L15" s="321"/>
      <c r="M15" s="321"/>
      <c r="N15" s="321"/>
      <c r="O15" s="321"/>
      <c r="P15" s="321"/>
      <c r="Q15" s="321"/>
    </row>
    <row r="16" spans="1:27" ht="1.95" customHeight="1"/>
  </sheetData>
  <mergeCells count="20">
    <mergeCell ref="W2:W3"/>
    <mergeCell ref="X2:X3"/>
    <mergeCell ref="Y2:Y3"/>
    <mergeCell ref="Z2:Z3"/>
    <mergeCell ref="AA2:AA3"/>
    <mergeCell ref="R2:R3"/>
    <mergeCell ref="S2:S3"/>
    <mergeCell ref="T2:T3"/>
    <mergeCell ref="U2:U3"/>
    <mergeCell ref="V2:V3"/>
    <mergeCell ref="A14:Q14"/>
    <mergeCell ref="A15:Q15"/>
    <mergeCell ref="A1:Q1"/>
    <mergeCell ref="A2:A3"/>
    <mergeCell ref="B2:D2"/>
    <mergeCell ref="E2:G2"/>
    <mergeCell ref="H2:J2"/>
    <mergeCell ref="K2:M2"/>
    <mergeCell ref="N2:P2"/>
    <mergeCell ref="Q2:Q3"/>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tint="-0.249977111117893"/>
  </sheetPr>
  <dimension ref="A1:N39"/>
  <sheetViews>
    <sheetView workbookViewId="0">
      <selection sqref="A1:N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1" t="s">
        <v>330</v>
      </c>
      <c r="B1" s="321"/>
      <c r="C1" s="321"/>
      <c r="D1" s="321"/>
      <c r="E1" s="321"/>
      <c r="F1" s="321"/>
      <c r="G1" s="321"/>
      <c r="H1" s="321"/>
      <c r="I1" s="321"/>
      <c r="J1" s="321"/>
      <c r="K1" s="321"/>
      <c r="L1" s="321"/>
      <c r="M1" s="321"/>
      <c r="N1" s="321"/>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6" t="s">
        <v>334</v>
      </c>
      <c r="B5" s="7">
        <v>44153000</v>
      </c>
      <c r="C5" s="7">
        <v>4608000</v>
      </c>
      <c r="D5" s="7">
        <v>107000</v>
      </c>
      <c r="E5" s="7">
        <v>4772000</v>
      </c>
      <c r="F5" s="7">
        <v>3618000</v>
      </c>
      <c r="G5" s="7">
        <v>128000</v>
      </c>
      <c r="H5" s="7">
        <v>29833000</v>
      </c>
      <c r="I5" s="7">
        <v>1087000</v>
      </c>
      <c r="J5" s="7">
        <v>39002000</v>
      </c>
      <c r="K5" s="7">
        <v>5151000</v>
      </c>
      <c r="L5" s="7">
        <v>41706000</v>
      </c>
      <c r="M5" s="7">
        <v>2447000</v>
      </c>
    </row>
    <row r="6" spans="1:14" ht="12.45" customHeight="1">
      <c r="A6" s="8" t="s">
        <v>323</v>
      </c>
      <c r="B6" s="9">
        <v>6586000</v>
      </c>
      <c r="C6" s="9">
        <v>834000</v>
      </c>
      <c r="D6" s="13" t="s">
        <v>191</v>
      </c>
      <c r="E6" s="9">
        <v>771000</v>
      </c>
      <c r="F6" s="9">
        <v>459000</v>
      </c>
      <c r="G6" s="9">
        <v>9000</v>
      </c>
      <c r="H6" s="9">
        <v>4250000</v>
      </c>
      <c r="I6" s="9">
        <v>233000</v>
      </c>
      <c r="J6" s="9">
        <v>5948000</v>
      </c>
      <c r="K6" s="9">
        <v>638000</v>
      </c>
      <c r="L6" s="9">
        <v>6183000</v>
      </c>
      <c r="M6" s="9">
        <v>403000</v>
      </c>
    </row>
    <row r="7" spans="1:14" ht="12.45" customHeight="1">
      <c r="A7" s="8" t="s">
        <v>324</v>
      </c>
      <c r="B7" s="9">
        <v>12566000</v>
      </c>
      <c r="C7" s="9">
        <v>1508000</v>
      </c>
      <c r="D7" s="9">
        <v>20000</v>
      </c>
      <c r="E7" s="9">
        <v>1543000</v>
      </c>
      <c r="F7" s="9">
        <v>920000</v>
      </c>
      <c r="G7" s="9">
        <v>31000</v>
      </c>
      <c r="H7" s="9">
        <v>8186000</v>
      </c>
      <c r="I7" s="9">
        <v>359000</v>
      </c>
      <c r="J7" s="9">
        <v>11559000</v>
      </c>
      <c r="K7" s="9">
        <v>1007000</v>
      </c>
      <c r="L7" s="9">
        <v>11488000</v>
      </c>
      <c r="M7" s="9">
        <v>1078000</v>
      </c>
    </row>
    <row r="8" spans="1:14" ht="12.45" customHeight="1">
      <c r="A8" s="8" t="s">
        <v>325</v>
      </c>
      <c r="B8" s="9">
        <v>10750000</v>
      </c>
      <c r="C8" s="9">
        <v>1165000</v>
      </c>
      <c r="D8" s="9">
        <v>16000</v>
      </c>
      <c r="E8" s="9">
        <v>1260000</v>
      </c>
      <c r="F8" s="9">
        <v>982000</v>
      </c>
      <c r="G8" s="9">
        <v>55000</v>
      </c>
      <c r="H8" s="9">
        <v>7003000</v>
      </c>
      <c r="I8" s="9">
        <v>271000</v>
      </c>
      <c r="J8" s="9">
        <v>9561000</v>
      </c>
      <c r="K8" s="9">
        <v>1190000</v>
      </c>
      <c r="L8" s="9">
        <v>10101000</v>
      </c>
      <c r="M8" s="9">
        <v>649000</v>
      </c>
    </row>
    <row r="9" spans="1:14" ht="12.45" customHeight="1">
      <c r="A9" s="8" t="s">
        <v>326</v>
      </c>
      <c r="B9" s="9">
        <v>14251000</v>
      </c>
      <c r="C9" s="9">
        <v>1101000</v>
      </c>
      <c r="D9" s="9">
        <v>42000</v>
      </c>
      <c r="E9" s="9">
        <v>1198000</v>
      </c>
      <c r="F9" s="9">
        <v>1257000</v>
      </c>
      <c r="G9" s="9">
        <v>33000</v>
      </c>
      <c r="H9" s="9">
        <v>10394000</v>
      </c>
      <c r="I9" s="9">
        <v>225000</v>
      </c>
      <c r="J9" s="9">
        <v>11934000</v>
      </c>
      <c r="K9" s="9">
        <v>2316000</v>
      </c>
      <c r="L9" s="9">
        <v>13934000</v>
      </c>
      <c r="M9" s="9">
        <v>317000</v>
      </c>
    </row>
    <row r="10" spans="1:14" ht="12.45" customHeight="1">
      <c r="A10" s="8" t="s">
        <v>174</v>
      </c>
      <c r="B10" s="9">
        <v>7230000</v>
      </c>
      <c r="C10" s="9">
        <v>636000</v>
      </c>
      <c r="D10" s="9">
        <v>9000</v>
      </c>
      <c r="E10" s="9">
        <v>1536000</v>
      </c>
      <c r="F10" s="9">
        <v>369000</v>
      </c>
      <c r="G10" s="9">
        <v>15000</v>
      </c>
      <c r="H10" s="9">
        <v>4505000</v>
      </c>
      <c r="I10" s="9">
        <v>161000</v>
      </c>
      <c r="J10" s="9">
        <v>6438000</v>
      </c>
      <c r="K10" s="9">
        <v>792000</v>
      </c>
      <c r="L10" s="9">
        <v>6267000</v>
      </c>
      <c r="M10" s="9">
        <v>964000</v>
      </c>
    </row>
    <row r="11" spans="1:14" ht="12.45" customHeight="1">
      <c r="A11" s="10" t="s">
        <v>323</v>
      </c>
      <c r="B11" s="9">
        <v>1430000</v>
      </c>
      <c r="C11" s="9">
        <v>158000</v>
      </c>
      <c r="D11" s="13" t="s">
        <v>191</v>
      </c>
      <c r="E11" s="9">
        <v>301000</v>
      </c>
      <c r="F11" s="9">
        <v>61000</v>
      </c>
      <c r="G11" s="9">
        <v>4000</v>
      </c>
      <c r="H11" s="9">
        <v>850000</v>
      </c>
      <c r="I11" s="9">
        <v>52000</v>
      </c>
      <c r="J11" s="9">
        <v>1319000</v>
      </c>
      <c r="K11" s="9">
        <v>111000</v>
      </c>
      <c r="L11" s="9">
        <v>1245000</v>
      </c>
      <c r="M11" s="9">
        <v>185000</v>
      </c>
    </row>
    <row r="12" spans="1:14" ht="12.45" customHeight="1">
      <c r="A12" s="10" t="s">
        <v>324</v>
      </c>
      <c r="B12" s="9">
        <v>2351000</v>
      </c>
      <c r="C12" s="9">
        <v>240000</v>
      </c>
      <c r="D12" s="9">
        <v>2000</v>
      </c>
      <c r="E12" s="9">
        <v>554000</v>
      </c>
      <c r="F12" s="9">
        <v>111000</v>
      </c>
      <c r="G12" s="9">
        <v>5000</v>
      </c>
      <c r="H12" s="9">
        <v>1390000</v>
      </c>
      <c r="I12" s="9">
        <v>49000</v>
      </c>
      <c r="J12" s="9">
        <v>2122000</v>
      </c>
      <c r="K12" s="9">
        <v>229000</v>
      </c>
      <c r="L12" s="9">
        <v>1839000</v>
      </c>
      <c r="M12" s="9">
        <v>513000</v>
      </c>
    </row>
    <row r="13" spans="1:14" ht="12.45" customHeight="1">
      <c r="A13" s="10" t="s">
        <v>325</v>
      </c>
      <c r="B13" s="9">
        <v>1560000</v>
      </c>
      <c r="C13" s="9">
        <v>122000</v>
      </c>
      <c r="D13" s="9">
        <v>2000</v>
      </c>
      <c r="E13" s="9">
        <v>393000</v>
      </c>
      <c r="F13" s="9">
        <v>95000</v>
      </c>
      <c r="G13" s="9">
        <v>4000</v>
      </c>
      <c r="H13" s="9">
        <v>912000</v>
      </c>
      <c r="I13" s="9">
        <v>32000</v>
      </c>
      <c r="J13" s="9">
        <v>1397000</v>
      </c>
      <c r="K13" s="9">
        <v>163000</v>
      </c>
      <c r="L13" s="9">
        <v>1360000</v>
      </c>
      <c r="M13" s="9">
        <v>200000</v>
      </c>
    </row>
    <row r="14" spans="1:14" ht="12.45" customHeight="1">
      <c r="A14" s="10" t="s">
        <v>326</v>
      </c>
      <c r="B14" s="9">
        <v>1890000</v>
      </c>
      <c r="C14" s="9">
        <v>117000</v>
      </c>
      <c r="D14" s="9">
        <v>2000</v>
      </c>
      <c r="E14" s="9">
        <v>287000</v>
      </c>
      <c r="F14" s="9">
        <v>102000</v>
      </c>
      <c r="G14" s="9">
        <v>2000</v>
      </c>
      <c r="H14" s="9">
        <v>1353000</v>
      </c>
      <c r="I14" s="9">
        <v>27000</v>
      </c>
      <c r="J14" s="9">
        <v>1601000</v>
      </c>
      <c r="K14" s="9">
        <v>288000</v>
      </c>
      <c r="L14" s="9">
        <v>1823000</v>
      </c>
      <c r="M14" s="9">
        <v>66000</v>
      </c>
    </row>
    <row r="15" spans="1:14" ht="12.45" customHeight="1">
      <c r="A15" s="10" t="s">
        <v>227</v>
      </c>
      <c r="B15" s="9">
        <v>711000</v>
      </c>
      <c r="C15" s="9">
        <v>65000</v>
      </c>
      <c r="D15" s="9">
        <v>1000</v>
      </c>
      <c r="E15" s="9">
        <v>153000</v>
      </c>
      <c r="F15" s="9">
        <v>27000</v>
      </c>
      <c r="G15" s="13" t="s">
        <v>191</v>
      </c>
      <c r="H15" s="9">
        <v>445000</v>
      </c>
      <c r="I15" s="9">
        <v>19000</v>
      </c>
      <c r="J15" s="9">
        <v>638000</v>
      </c>
      <c r="K15" s="9">
        <v>73000</v>
      </c>
      <c r="L15" s="9">
        <v>601000</v>
      </c>
      <c r="M15" s="9">
        <v>109000</v>
      </c>
    </row>
    <row r="16" spans="1:14" ht="12.45" customHeight="1">
      <c r="A16" s="12" t="s">
        <v>323</v>
      </c>
      <c r="B16" s="9">
        <v>153000</v>
      </c>
      <c r="C16" s="9">
        <v>20000</v>
      </c>
      <c r="D16" s="13" t="s">
        <v>220</v>
      </c>
      <c r="E16" s="9">
        <v>24000</v>
      </c>
      <c r="F16" s="9">
        <v>7000</v>
      </c>
      <c r="G16" s="13" t="s">
        <v>220</v>
      </c>
      <c r="H16" s="9">
        <v>88000</v>
      </c>
      <c r="I16" s="13" t="s">
        <v>191</v>
      </c>
      <c r="J16" s="9">
        <v>134000</v>
      </c>
      <c r="K16" s="9">
        <v>19000</v>
      </c>
      <c r="L16" s="9">
        <v>139000</v>
      </c>
      <c r="M16" s="9">
        <v>14000</v>
      </c>
    </row>
    <row r="17" spans="1:13" ht="12.45" customHeight="1">
      <c r="A17" s="12" t="s">
        <v>324</v>
      </c>
      <c r="B17" s="9">
        <v>241000</v>
      </c>
      <c r="C17" s="9">
        <v>26000</v>
      </c>
      <c r="D17" s="13" t="s">
        <v>220</v>
      </c>
      <c r="E17" s="9">
        <v>57000</v>
      </c>
      <c r="F17" s="9">
        <v>9000</v>
      </c>
      <c r="G17" s="13" t="s">
        <v>220</v>
      </c>
      <c r="H17" s="9">
        <v>145000</v>
      </c>
      <c r="I17" s="9">
        <v>3000</v>
      </c>
      <c r="J17" s="9">
        <v>218000</v>
      </c>
      <c r="K17" s="9">
        <v>23000</v>
      </c>
      <c r="L17" s="9">
        <v>178000</v>
      </c>
      <c r="M17" s="9">
        <v>63000</v>
      </c>
    </row>
    <row r="18" spans="1:13" ht="12.45" customHeight="1">
      <c r="A18" s="12" t="s">
        <v>325</v>
      </c>
      <c r="B18" s="9">
        <v>151000</v>
      </c>
      <c r="C18" s="9">
        <v>9000</v>
      </c>
      <c r="D18" s="13" t="s">
        <v>220</v>
      </c>
      <c r="E18" s="9">
        <v>34000</v>
      </c>
      <c r="F18" s="9">
        <v>6000</v>
      </c>
      <c r="G18" s="13" t="s">
        <v>220</v>
      </c>
      <c r="H18" s="9">
        <v>100000</v>
      </c>
      <c r="I18" s="9">
        <v>1000</v>
      </c>
      <c r="J18" s="9">
        <v>142000</v>
      </c>
      <c r="K18" s="9">
        <v>9000</v>
      </c>
      <c r="L18" s="9">
        <v>128000</v>
      </c>
      <c r="M18" s="9">
        <v>23000</v>
      </c>
    </row>
    <row r="19" spans="1:13" ht="12.45" customHeight="1">
      <c r="A19" s="12" t="s">
        <v>326</v>
      </c>
      <c r="B19" s="9">
        <v>165000</v>
      </c>
      <c r="C19" s="9">
        <v>9000</v>
      </c>
      <c r="D19" s="13" t="s">
        <v>220</v>
      </c>
      <c r="E19" s="9">
        <v>37000</v>
      </c>
      <c r="F19" s="9">
        <v>5000</v>
      </c>
      <c r="G19" s="13" t="s">
        <v>220</v>
      </c>
      <c r="H19" s="9">
        <v>112000</v>
      </c>
      <c r="I19" s="9">
        <v>2000</v>
      </c>
      <c r="J19" s="9">
        <v>143000</v>
      </c>
      <c r="K19" s="9">
        <v>22000</v>
      </c>
      <c r="L19" s="9">
        <v>156000</v>
      </c>
      <c r="M19" s="9">
        <v>9000</v>
      </c>
    </row>
    <row r="20" spans="1:13" ht="12.45" customHeight="1">
      <c r="A20" s="10" t="s">
        <v>228</v>
      </c>
      <c r="B20" s="9">
        <v>3822000</v>
      </c>
      <c r="C20" s="9">
        <v>312000</v>
      </c>
      <c r="D20" s="9">
        <v>5000</v>
      </c>
      <c r="E20" s="9">
        <v>1002000</v>
      </c>
      <c r="F20" s="9">
        <v>235000</v>
      </c>
      <c r="G20" s="9">
        <v>6000</v>
      </c>
      <c r="H20" s="9">
        <v>2173000</v>
      </c>
      <c r="I20" s="9">
        <v>88000</v>
      </c>
      <c r="J20" s="9">
        <v>3374000</v>
      </c>
      <c r="K20" s="9">
        <v>448000</v>
      </c>
      <c r="L20" s="9">
        <v>3213000</v>
      </c>
      <c r="M20" s="9">
        <v>610000</v>
      </c>
    </row>
    <row r="21" spans="1:13" ht="12.45" customHeight="1">
      <c r="A21" s="12" t="s">
        <v>323</v>
      </c>
      <c r="B21" s="9">
        <v>706000</v>
      </c>
      <c r="C21" s="9">
        <v>74000</v>
      </c>
      <c r="D21" s="13" t="s">
        <v>220</v>
      </c>
      <c r="E21" s="9">
        <v>184000</v>
      </c>
      <c r="F21" s="9">
        <v>34000</v>
      </c>
      <c r="G21" s="13" t="s">
        <v>220</v>
      </c>
      <c r="H21" s="9">
        <v>386000</v>
      </c>
      <c r="I21" s="9">
        <v>24000</v>
      </c>
      <c r="J21" s="9">
        <v>654000</v>
      </c>
      <c r="K21" s="9">
        <v>51000</v>
      </c>
      <c r="L21" s="9">
        <v>589000</v>
      </c>
      <c r="M21" s="9">
        <v>116000</v>
      </c>
    </row>
    <row r="22" spans="1:13" ht="12.45" customHeight="1">
      <c r="A22" s="12" t="s">
        <v>324</v>
      </c>
      <c r="B22" s="9">
        <v>1267000</v>
      </c>
      <c r="C22" s="9">
        <v>126000</v>
      </c>
      <c r="D22" s="13" t="s">
        <v>191</v>
      </c>
      <c r="E22" s="9">
        <v>367000</v>
      </c>
      <c r="F22" s="9">
        <v>69000</v>
      </c>
      <c r="G22" s="13" t="s">
        <v>191</v>
      </c>
      <c r="H22" s="9">
        <v>678000</v>
      </c>
      <c r="I22" s="9">
        <v>25000</v>
      </c>
      <c r="J22" s="9">
        <v>1124000</v>
      </c>
      <c r="K22" s="9">
        <v>143000</v>
      </c>
      <c r="L22" s="9">
        <v>934000</v>
      </c>
      <c r="M22" s="9">
        <v>333000</v>
      </c>
    </row>
    <row r="23" spans="1:13" ht="12.45" customHeight="1">
      <c r="A23" s="12" t="s">
        <v>325</v>
      </c>
      <c r="B23" s="9">
        <v>870000</v>
      </c>
      <c r="C23" s="9">
        <v>53000</v>
      </c>
      <c r="D23" s="13" t="s">
        <v>220</v>
      </c>
      <c r="E23" s="9">
        <v>284000</v>
      </c>
      <c r="F23" s="9">
        <v>64000</v>
      </c>
      <c r="G23" s="13" t="s">
        <v>220</v>
      </c>
      <c r="H23" s="9">
        <v>445000</v>
      </c>
      <c r="I23" s="9">
        <v>22000</v>
      </c>
      <c r="J23" s="9">
        <v>776000</v>
      </c>
      <c r="K23" s="9">
        <v>94000</v>
      </c>
      <c r="L23" s="9">
        <v>739000</v>
      </c>
      <c r="M23" s="9">
        <v>131000</v>
      </c>
    </row>
    <row r="24" spans="1:13" ht="12.45" customHeight="1">
      <c r="A24" s="12" t="s">
        <v>326</v>
      </c>
      <c r="B24" s="9">
        <v>979000</v>
      </c>
      <c r="C24" s="9">
        <v>60000</v>
      </c>
      <c r="D24" s="13" t="s">
        <v>220</v>
      </c>
      <c r="E24" s="9">
        <v>167000</v>
      </c>
      <c r="F24" s="9">
        <v>68000</v>
      </c>
      <c r="G24" s="9">
        <v>2000</v>
      </c>
      <c r="H24" s="9">
        <v>665000</v>
      </c>
      <c r="I24" s="9">
        <v>18000</v>
      </c>
      <c r="J24" s="9">
        <v>820000</v>
      </c>
      <c r="K24" s="9">
        <v>159000</v>
      </c>
      <c r="L24" s="9">
        <v>950000</v>
      </c>
      <c r="M24" s="9">
        <v>29000</v>
      </c>
    </row>
    <row r="25" spans="1:13" ht="12.45" customHeight="1">
      <c r="A25" s="10" t="s">
        <v>229</v>
      </c>
      <c r="B25" s="9">
        <v>361000</v>
      </c>
      <c r="C25" s="9">
        <v>29000</v>
      </c>
      <c r="D25" s="9">
        <v>1000</v>
      </c>
      <c r="E25" s="9">
        <v>50000</v>
      </c>
      <c r="F25" s="9">
        <v>13000</v>
      </c>
      <c r="G25" s="13" t="s">
        <v>191</v>
      </c>
      <c r="H25" s="9">
        <v>260000</v>
      </c>
      <c r="I25" s="9">
        <v>7000</v>
      </c>
      <c r="J25" s="9">
        <v>315000</v>
      </c>
      <c r="K25" s="9">
        <v>46000</v>
      </c>
      <c r="L25" s="9">
        <v>319000</v>
      </c>
      <c r="M25" s="9">
        <v>42000</v>
      </c>
    </row>
    <row r="26" spans="1:13" ht="12.45" customHeight="1">
      <c r="A26" s="12" t="s">
        <v>323</v>
      </c>
      <c r="B26" s="9">
        <v>69000</v>
      </c>
      <c r="C26" s="9">
        <v>8000</v>
      </c>
      <c r="D26" s="13" t="s">
        <v>220</v>
      </c>
      <c r="E26" s="9">
        <v>16000</v>
      </c>
      <c r="F26" s="9">
        <v>1000</v>
      </c>
      <c r="G26" s="13" t="s">
        <v>220</v>
      </c>
      <c r="H26" s="9">
        <v>41000</v>
      </c>
      <c r="I26" s="9">
        <v>3000</v>
      </c>
      <c r="J26" s="9">
        <v>62000</v>
      </c>
      <c r="K26" s="9">
        <v>7000</v>
      </c>
      <c r="L26" s="9">
        <v>56000</v>
      </c>
      <c r="M26" s="9">
        <v>13000</v>
      </c>
    </row>
    <row r="27" spans="1:13" ht="12.45" customHeight="1">
      <c r="A27" s="12" t="s">
        <v>324</v>
      </c>
      <c r="B27" s="9">
        <v>117000</v>
      </c>
      <c r="C27" s="9">
        <v>6000</v>
      </c>
      <c r="D27" s="13" t="s">
        <v>220</v>
      </c>
      <c r="E27" s="9">
        <v>16000</v>
      </c>
      <c r="F27" s="9">
        <v>7000</v>
      </c>
      <c r="G27" s="13" t="s">
        <v>220</v>
      </c>
      <c r="H27" s="9">
        <v>86000</v>
      </c>
      <c r="I27" s="9">
        <v>3000</v>
      </c>
      <c r="J27" s="9">
        <v>104000</v>
      </c>
      <c r="K27" s="9">
        <v>13000</v>
      </c>
      <c r="L27" s="9">
        <v>98000</v>
      </c>
      <c r="M27" s="9">
        <v>20000</v>
      </c>
    </row>
    <row r="28" spans="1:13" ht="12.45" customHeight="1">
      <c r="A28" s="12" t="s">
        <v>325</v>
      </c>
      <c r="B28" s="9">
        <v>77000</v>
      </c>
      <c r="C28" s="9">
        <v>12000</v>
      </c>
      <c r="D28" s="13" t="s">
        <v>220</v>
      </c>
      <c r="E28" s="9">
        <v>8000</v>
      </c>
      <c r="F28" s="9">
        <v>1000</v>
      </c>
      <c r="G28" s="13" t="s">
        <v>220</v>
      </c>
      <c r="H28" s="9">
        <v>54000</v>
      </c>
      <c r="I28" s="9">
        <v>1000</v>
      </c>
      <c r="J28" s="9">
        <v>65000</v>
      </c>
      <c r="K28" s="9">
        <v>12000</v>
      </c>
      <c r="L28" s="9">
        <v>72000</v>
      </c>
      <c r="M28" s="9">
        <v>6000</v>
      </c>
    </row>
    <row r="29" spans="1:13" ht="12.45" customHeight="1">
      <c r="A29" s="12" t="s">
        <v>326</v>
      </c>
      <c r="B29" s="9">
        <v>97000</v>
      </c>
      <c r="C29" s="9">
        <v>4000</v>
      </c>
      <c r="D29" s="13" t="s">
        <v>191</v>
      </c>
      <c r="E29" s="9">
        <v>10000</v>
      </c>
      <c r="F29" s="9">
        <v>3000</v>
      </c>
      <c r="G29" s="13" t="s">
        <v>220</v>
      </c>
      <c r="H29" s="9">
        <v>79000</v>
      </c>
      <c r="I29" s="13" t="s">
        <v>222</v>
      </c>
      <c r="J29" s="9">
        <v>83000</v>
      </c>
      <c r="K29" s="9">
        <v>14000</v>
      </c>
      <c r="L29" s="9">
        <v>94000</v>
      </c>
      <c r="M29" s="9">
        <v>4000</v>
      </c>
    </row>
    <row r="30" spans="1:13" ht="12.45" customHeight="1">
      <c r="A30" s="10" t="s">
        <v>230</v>
      </c>
      <c r="B30" s="9">
        <v>504000</v>
      </c>
      <c r="C30" s="9">
        <v>56000</v>
      </c>
      <c r="D30" s="9">
        <v>1000</v>
      </c>
      <c r="E30" s="9">
        <v>35000</v>
      </c>
      <c r="F30" s="9">
        <v>31000</v>
      </c>
      <c r="G30" s="13" t="s">
        <v>191</v>
      </c>
      <c r="H30" s="9">
        <v>369000</v>
      </c>
      <c r="I30" s="9">
        <v>13000</v>
      </c>
      <c r="J30" s="9">
        <v>447000</v>
      </c>
      <c r="K30" s="9">
        <v>57000</v>
      </c>
      <c r="L30" s="9">
        <v>470000</v>
      </c>
      <c r="M30" s="9">
        <v>35000</v>
      </c>
    </row>
    <row r="31" spans="1:13" ht="12.45" customHeight="1">
      <c r="A31" s="12" t="s">
        <v>323</v>
      </c>
      <c r="B31" s="9">
        <v>87000</v>
      </c>
      <c r="C31" s="9">
        <v>8000</v>
      </c>
      <c r="D31" s="13" t="s">
        <v>220</v>
      </c>
      <c r="E31" s="9">
        <v>9000</v>
      </c>
      <c r="F31" s="9">
        <v>4000</v>
      </c>
      <c r="G31" s="13" t="s">
        <v>220</v>
      </c>
      <c r="H31" s="9">
        <v>64000</v>
      </c>
      <c r="I31" s="9">
        <v>2000</v>
      </c>
      <c r="J31" s="9">
        <v>81000</v>
      </c>
      <c r="K31" s="9">
        <v>6000</v>
      </c>
      <c r="L31" s="9">
        <v>81000</v>
      </c>
      <c r="M31" s="9">
        <v>6000</v>
      </c>
    </row>
    <row r="32" spans="1:13" ht="12.45" customHeight="1">
      <c r="A32" s="12" t="s">
        <v>324</v>
      </c>
      <c r="B32" s="9">
        <v>173000</v>
      </c>
      <c r="C32" s="9">
        <v>26000</v>
      </c>
      <c r="D32" s="13" t="s">
        <v>220</v>
      </c>
      <c r="E32" s="9">
        <v>15000</v>
      </c>
      <c r="F32" s="9">
        <v>9000</v>
      </c>
      <c r="G32" s="13" t="s">
        <v>220</v>
      </c>
      <c r="H32" s="9">
        <v>116000</v>
      </c>
      <c r="I32" s="13" t="s">
        <v>191</v>
      </c>
      <c r="J32" s="9">
        <v>156000</v>
      </c>
      <c r="K32" s="9">
        <v>17000</v>
      </c>
      <c r="L32" s="9">
        <v>156000</v>
      </c>
      <c r="M32" s="9">
        <v>17000</v>
      </c>
    </row>
    <row r="33" spans="1:13" ht="12.45" customHeight="1">
      <c r="A33" s="12" t="s">
        <v>325</v>
      </c>
      <c r="B33" s="9">
        <v>106000</v>
      </c>
      <c r="C33" s="9">
        <v>13000</v>
      </c>
      <c r="D33" s="13" t="s">
        <v>220</v>
      </c>
      <c r="E33" s="9">
        <v>7000</v>
      </c>
      <c r="F33" s="9">
        <v>8000</v>
      </c>
      <c r="G33" s="13" t="s">
        <v>220</v>
      </c>
      <c r="H33" s="9">
        <v>75000</v>
      </c>
      <c r="I33" s="9">
        <v>2000</v>
      </c>
      <c r="J33" s="9">
        <v>93000</v>
      </c>
      <c r="K33" s="9">
        <v>13000</v>
      </c>
      <c r="L33" s="9">
        <v>99000</v>
      </c>
      <c r="M33" s="13" t="s">
        <v>191</v>
      </c>
    </row>
    <row r="34" spans="1:13" ht="12.45" customHeight="1">
      <c r="A34" s="12" t="s">
        <v>326</v>
      </c>
      <c r="B34" s="9">
        <v>138000</v>
      </c>
      <c r="C34" s="9">
        <v>9000</v>
      </c>
      <c r="D34" s="13" t="s">
        <v>220</v>
      </c>
      <c r="E34" s="9">
        <v>4000</v>
      </c>
      <c r="F34" s="9">
        <v>10000</v>
      </c>
      <c r="G34" s="13" t="s">
        <v>220</v>
      </c>
      <c r="H34" s="9">
        <v>114000</v>
      </c>
      <c r="I34" s="9">
        <v>1000</v>
      </c>
      <c r="J34" s="9">
        <v>116000</v>
      </c>
      <c r="K34" s="9">
        <v>22000</v>
      </c>
      <c r="L34" s="9">
        <v>134000</v>
      </c>
      <c r="M34" s="9">
        <v>4000</v>
      </c>
    </row>
    <row r="35" spans="1:13" ht="12.45" customHeight="1">
      <c r="A35" s="10" t="s">
        <v>231</v>
      </c>
      <c r="B35" s="9">
        <v>1832000</v>
      </c>
      <c r="C35" s="9">
        <v>174000</v>
      </c>
      <c r="D35" s="9">
        <v>2000</v>
      </c>
      <c r="E35" s="9">
        <v>295000</v>
      </c>
      <c r="F35" s="9">
        <v>62000</v>
      </c>
      <c r="G35" s="9">
        <v>6000</v>
      </c>
      <c r="H35" s="9">
        <v>1258000</v>
      </c>
      <c r="I35" s="9">
        <v>34000</v>
      </c>
      <c r="J35" s="9">
        <v>1664000</v>
      </c>
      <c r="K35" s="9">
        <v>168000</v>
      </c>
      <c r="L35" s="9">
        <v>1664000</v>
      </c>
      <c r="M35" s="9">
        <v>168000</v>
      </c>
    </row>
    <row r="36" spans="1:13" ht="12.45" customHeight="1">
      <c r="A36" s="12" t="s">
        <v>323</v>
      </c>
      <c r="B36" s="9">
        <v>414000</v>
      </c>
      <c r="C36" s="9">
        <v>48000</v>
      </c>
      <c r="D36" s="13" t="s">
        <v>222</v>
      </c>
      <c r="E36" s="9">
        <v>68000</v>
      </c>
      <c r="F36" s="9">
        <v>14000</v>
      </c>
      <c r="G36" s="13" t="s">
        <v>220</v>
      </c>
      <c r="H36" s="9">
        <v>271000</v>
      </c>
      <c r="I36" s="9">
        <v>11000</v>
      </c>
      <c r="J36" s="9">
        <v>386000</v>
      </c>
      <c r="K36" s="9">
        <v>28000</v>
      </c>
      <c r="L36" s="9">
        <v>380000</v>
      </c>
      <c r="M36" s="9">
        <v>35000</v>
      </c>
    </row>
    <row r="37" spans="1:13" ht="12.45" customHeight="1">
      <c r="A37" s="12" t="s">
        <v>324</v>
      </c>
      <c r="B37" s="9">
        <v>553000</v>
      </c>
      <c r="C37" s="9">
        <v>57000</v>
      </c>
      <c r="D37" s="13" t="s">
        <v>191</v>
      </c>
      <c r="E37" s="9">
        <v>99000</v>
      </c>
      <c r="F37" s="9">
        <v>18000</v>
      </c>
      <c r="G37" s="9">
        <v>2000</v>
      </c>
      <c r="H37" s="9">
        <v>364000</v>
      </c>
      <c r="I37" s="9">
        <v>11000</v>
      </c>
      <c r="J37" s="9">
        <v>519000</v>
      </c>
      <c r="K37" s="9">
        <v>33000</v>
      </c>
      <c r="L37" s="9">
        <v>473000</v>
      </c>
      <c r="M37" s="9">
        <v>80000</v>
      </c>
    </row>
    <row r="38" spans="1:13" ht="12.45" customHeight="1">
      <c r="A38" s="12" t="s">
        <v>325</v>
      </c>
      <c r="B38" s="9">
        <v>356000</v>
      </c>
      <c r="C38" s="9">
        <v>34000</v>
      </c>
      <c r="D38" s="13" t="s">
        <v>220</v>
      </c>
      <c r="E38" s="9">
        <v>61000</v>
      </c>
      <c r="F38" s="9">
        <v>14000</v>
      </c>
      <c r="G38" s="9">
        <v>2000</v>
      </c>
      <c r="H38" s="9">
        <v>238000</v>
      </c>
      <c r="I38" s="9">
        <v>6000</v>
      </c>
      <c r="J38" s="9">
        <v>320000</v>
      </c>
      <c r="K38" s="9">
        <v>35000</v>
      </c>
      <c r="L38" s="9">
        <v>322000</v>
      </c>
      <c r="M38" s="9">
        <v>33000</v>
      </c>
    </row>
    <row r="39" spans="1:13" ht="12.45" customHeight="1">
      <c r="A39" s="12" t="s">
        <v>326</v>
      </c>
      <c r="B39" s="9">
        <v>509000</v>
      </c>
      <c r="C39" s="9">
        <v>35000</v>
      </c>
      <c r="D39" s="13" t="s">
        <v>222</v>
      </c>
      <c r="E39" s="9">
        <v>68000</v>
      </c>
      <c r="F39" s="9">
        <v>16000</v>
      </c>
      <c r="G39" s="13" t="s">
        <v>222</v>
      </c>
      <c r="H39" s="9">
        <v>384000</v>
      </c>
      <c r="I39" s="9">
        <v>6000</v>
      </c>
      <c r="J39" s="9">
        <v>438000</v>
      </c>
      <c r="K39" s="9">
        <v>71000</v>
      </c>
      <c r="L39" s="9">
        <v>489000</v>
      </c>
      <c r="M39" s="9">
        <v>20000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249977111117893"/>
  </sheetPr>
  <dimension ref="A1:N39"/>
  <sheetViews>
    <sheetView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1" t="s">
        <v>330</v>
      </c>
      <c r="B1" s="321"/>
      <c r="C1" s="321"/>
      <c r="D1" s="321"/>
      <c r="E1" s="321"/>
      <c r="F1" s="321"/>
      <c r="G1" s="321"/>
      <c r="H1" s="321"/>
      <c r="I1" s="321"/>
      <c r="J1" s="321"/>
      <c r="K1" s="321"/>
      <c r="L1" s="321"/>
      <c r="M1" s="321"/>
      <c r="N1" s="321"/>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17" t="s">
        <v>175</v>
      </c>
      <c r="B5" s="7">
        <v>7975000</v>
      </c>
      <c r="C5" s="7">
        <v>712000</v>
      </c>
      <c r="D5" s="7">
        <v>20000</v>
      </c>
      <c r="E5" s="7">
        <v>1085000</v>
      </c>
      <c r="F5" s="7">
        <v>658000</v>
      </c>
      <c r="G5" s="7">
        <v>35000</v>
      </c>
      <c r="H5" s="7">
        <v>5311000</v>
      </c>
      <c r="I5" s="7">
        <v>153000</v>
      </c>
      <c r="J5" s="7">
        <v>7179000</v>
      </c>
      <c r="K5" s="7">
        <v>795000</v>
      </c>
      <c r="L5" s="7">
        <v>7519000</v>
      </c>
      <c r="M5" s="7">
        <v>456000</v>
      </c>
    </row>
    <row r="6" spans="1:14" ht="12.45" customHeight="1">
      <c r="A6" s="10" t="s">
        <v>323</v>
      </c>
      <c r="B6" s="9">
        <v>1189000</v>
      </c>
      <c r="C6" s="9">
        <v>122000</v>
      </c>
      <c r="D6" s="13" t="s">
        <v>191</v>
      </c>
      <c r="E6" s="9">
        <v>145000</v>
      </c>
      <c r="F6" s="9">
        <v>76000</v>
      </c>
      <c r="G6" s="9">
        <v>2000</v>
      </c>
      <c r="H6" s="9">
        <v>808000</v>
      </c>
      <c r="I6" s="9">
        <v>32000</v>
      </c>
      <c r="J6" s="9">
        <v>1098000</v>
      </c>
      <c r="K6" s="9">
        <v>91000</v>
      </c>
      <c r="L6" s="9">
        <v>1122000</v>
      </c>
      <c r="M6" s="9">
        <v>67000</v>
      </c>
    </row>
    <row r="7" spans="1:14" ht="12.45" customHeight="1">
      <c r="A7" s="10" t="s">
        <v>324</v>
      </c>
      <c r="B7" s="9">
        <v>2366000</v>
      </c>
      <c r="C7" s="9">
        <v>232000</v>
      </c>
      <c r="D7" s="9">
        <v>7000</v>
      </c>
      <c r="E7" s="9">
        <v>312000</v>
      </c>
      <c r="F7" s="9">
        <v>179000</v>
      </c>
      <c r="G7" s="9">
        <v>2000</v>
      </c>
      <c r="H7" s="9">
        <v>1577000</v>
      </c>
      <c r="I7" s="9">
        <v>58000</v>
      </c>
      <c r="J7" s="9">
        <v>2190000</v>
      </c>
      <c r="K7" s="9">
        <v>176000</v>
      </c>
      <c r="L7" s="9">
        <v>2171000</v>
      </c>
      <c r="M7" s="9">
        <v>196000</v>
      </c>
    </row>
    <row r="8" spans="1:14" ht="12.45" customHeight="1">
      <c r="A8" s="10" t="s">
        <v>325</v>
      </c>
      <c r="B8" s="9">
        <v>1982000</v>
      </c>
      <c r="C8" s="9">
        <v>168000</v>
      </c>
      <c r="D8" s="13" t="s">
        <v>191</v>
      </c>
      <c r="E8" s="9">
        <v>321000</v>
      </c>
      <c r="F8" s="9">
        <v>179000</v>
      </c>
      <c r="G8" s="9">
        <v>29000</v>
      </c>
      <c r="H8" s="9">
        <v>1238000</v>
      </c>
      <c r="I8" s="9">
        <v>40000</v>
      </c>
      <c r="J8" s="9">
        <v>1801000</v>
      </c>
      <c r="K8" s="9">
        <v>180000</v>
      </c>
      <c r="L8" s="9">
        <v>1850000</v>
      </c>
      <c r="M8" s="9">
        <v>131000</v>
      </c>
    </row>
    <row r="9" spans="1:14" ht="12.45" customHeight="1">
      <c r="A9" s="10" t="s">
        <v>326</v>
      </c>
      <c r="B9" s="9">
        <v>2438000</v>
      </c>
      <c r="C9" s="9">
        <v>190000</v>
      </c>
      <c r="D9" s="9">
        <v>3000</v>
      </c>
      <c r="E9" s="9">
        <v>307000</v>
      </c>
      <c r="F9" s="9">
        <v>224000</v>
      </c>
      <c r="G9" s="9">
        <v>2000</v>
      </c>
      <c r="H9" s="9">
        <v>1688000</v>
      </c>
      <c r="I9" s="9">
        <v>24000</v>
      </c>
      <c r="J9" s="9">
        <v>2089000</v>
      </c>
      <c r="K9" s="9">
        <v>349000</v>
      </c>
      <c r="L9" s="9">
        <v>2376000</v>
      </c>
      <c r="M9" s="9">
        <v>62000</v>
      </c>
    </row>
    <row r="10" spans="1:14" ht="12.45" customHeight="1">
      <c r="A10" s="8" t="s">
        <v>176</v>
      </c>
      <c r="B10" s="9">
        <v>28948000</v>
      </c>
      <c r="C10" s="9">
        <v>3260000</v>
      </c>
      <c r="D10" s="9">
        <v>78000</v>
      </c>
      <c r="E10" s="9">
        <v>2151000</v>
      </c>
      <c r="F10" s="9">
        <v>2592000</v>
      </c>
      <c r="G10" s="9">
        <v>78000</v>
      </c>
      <c r="H10" s="9">
        <v>20017000</v>
      </c>
      <c r="I10" s="9">
        <v>773000</v>
      </c>
      <c r="J10" s="9">
        <v>25384000</v>
      </c>
      <c r="K10" s="9">
        <v>3564000</v>
      </c>
      <c r="L10" s="9">
        <v>27921000</v>
      </c>
      <c r="M10" s="9">
        <v>1028000</v>
      </c>
    </row>
    <row r="11" spans="1:14" ht="12.45" customHeight="1">
      <c r="A11" s="10" t="s">
        <v>323</v>
      </c>
      <c r="B11" s="9">
        <v>3967000</v>
      </c>
      <c r="C11" s="9">
        <v>554000</v>
      </c>
      <c r="D11" s="13" t="s">
        <v>191</v>
      </c>
      <c r="E11" s="9">
        <v>324000</v>
      </c>
      <c r="F11" s="9">
        <v>323000</v>
      </c>
      <c r="G11" s="13" t="s">
        <v>191</v>
      </c>
      <c r="H11" s="9">
        <v>2592000</v>
      </c>
      <c r="I11" s="9">
        <v>149000</v>
      </c>
      <c r="J11" s="9">
        <v>3531000</v>
      </c>
      <c r="K11" s="9">
        <v>436000</v>
      </c>
      <c r="L11" s="9">
        <v>3815000</v>
      </c>
      <c r="M11" s="9">
        <v>152000</v>
      </c>
    </row>
    <row r="12" spans="1:14" ht="12.45" customHeight="1">
      <c r="A12" s="10" t="s">
        <v>324</v>
      </c>
      <c r="B12" s="9">
        <v>7849000</v>
      </c>
      <c r="C12" s="9">
        <v>1036000</v>
      </c>
      <c r="D12" s="9">
        <v>11000</v>
      </c>
      <c r="E12" s="9">
        <v>677000</v>
      </c>
      <c r="F12" s="9">
        <v>630000</v>
      </c>
      <c r="G12" s="9">
        <v>24000</v>
      </c>
      <c r="H12" s="9">
        <v>5219000</v>
      </c>
      <c r="I12" s="9">
        <v>252000</v>
      </c>
      <c r="J12" s="9">
        <v>7247000</v>
      </c>
      <c r="K12" s="9">
        <v>602000</v>
      </c>
      <c r="L12" s="9">
        <v>7479000</v>
      </c>
      <c r="M12" s="9">
        <v>370000</v>
      </c>
    </row>
    <row r="13" spans="1:14" ht="12.45" customHeight="1">
      <c r="A13" s="10" t="s">
        <v>325</v>
      </c>
      <c r="B13" s="9">
        <v>7209000</v>
      </c>
      <c r="C13" s="9">
        <v>875000</v>
      </c>
      <c r="D13" s="9">
        <v>8000</v>
      </c>
      <c r="E13" s="9">
        <v>545000</v>
      </c>
      <c r="F13" s="9">
        <v>708000</v>
      </c>
      <c r="G13" s="9">
        <v>22000</v>
      </c>
      <c r="H13" s="9">
        <v>4853000</v>
      </c>
      <c r="I13" s="9">
        <v>198000</v>
      </c>
      <c r="J13" s="9">
        <v>6363000</v>
      </c>
      <c r="K13" s="9">
        <v>847000</v>
      </c>
      <c r="L13" s="9">
        <v>6891000</v>
      </c>
      <c r="M13" s="9">
        <v>318000</v>
      </c>
    </row>
    <row r="14" spans="1:14" ht="12.45" customHeight="1">
      <c r="A14" s="10" t="s">
        <v>326</v>
      </c>
      <c r="B14" s="9">
        <v>9923000</v>
      </c>
      <c r="C14" s="9">
        <v>795000</v>
      </c>
      <c r="D14" s="9">
        <v>37000</v>
      </c>
      <c r="E14" s="9">
        <v>604000</v>
      </c>
      <c r="F14" s="9">
        <v>932000</v>
      </c>
      <c r="G14" s="9">
        <v>29000</v>
      </c>
      <c r="H14" s="9">
        <v>7353000</v>
      </c>
      <c r="I14" s="9">
        <v>174000</v>
      </c>
      <c r="J14" s="9">
        <v>8244000</v>
      </c>
      <c r="K14" s="9">
        <v>1679000</v>
      </c>
      <c r="L14" s="9">
        <v>9735000</v>
      </c>
      <c r="M14" s="9">
        <v>188000</v>
      </c>
    </row>
    <row r="15" spans="1:14" ht="12.45" customHeight="1">
      <c r="A15" s="8" t="s">
        <v>335</v>
      </c>
      <c r="B15" s="9">
        <v>21594000</v>
      </c>
      <c r="C15" s="9">
        <v>2448000</v>
      </c>
      <c r="D15" s="9">
        <v>61000</v>
      </c>
      <c r="E15" s="9">
        <v>2233000</v>
      </c>
      <c r="F15" s="9">
        <v>2136000</v>
      </c>
      <c r="G15" s="9">
        <v>62000</v>
      </c>
      <c r="H15" s="9">
        <v>14112000</v>
      </c>
      <c r="I15" s="9">
        <v>542000</v>
      </c>
      <c r="J15" s="9">
        <v>19206000</v>
      </c>
      <c r="K15" s="9">
        <v>2388000</v>
      </c>
      <c r="L15" s="9">
        <v>20643000</v>
      </c>
      <c r="M15" s="9">
        <v>951000</v>
      </c>
    </row>
    <row r="16" spans="1:14" ht="12.45" customHeight="1">
      <c r="A16" s="10" t="s">
        <v>323</v>
      </c>
      <c r="B16" s="9">
        <v>3615000</v>
      </c>
      <c r="C16" s="9">
        <v>498000</v>
      </c>
      <c r="D16" s="13" t="s">
        <v>191</v>
      </c>
      <c r="E16" s="9">
        <v>417000</v>
      </c>
      <c r="F16" s="9">
        <v>303000</v>
      </c>
      <c r="G16" s="13" t="s">
        <v>191</v>
      </c>
      <c r="H16" s="9">
        <v>2267000</v>
      </c>
      <c r="I16" s="9">
        <v>103000</v>
      </c>
      <c r="J16" s="9">
        <v>3214000</v>
      </c>
      <c r="K16" s="9">
        <v>401000</v>
      </c>
      <c r="L16" s="9">
        <v>3406000</v>
      </c>
      <c r="M16" s="9">
        <v>209000</v>
      </c>
    </row>
    <row r="17" spans="1:13" ht="12.45" customHeight="1">
      <c r="A17" s="10" t="s">
        <v>324</v>
      </c>
      <c r="B17" s="9">
        <v>6284000</v>
      </c>
      <c r="C17" s="9">
        <v>820000</v>
      </c>
      <c r="D17" s="9">
        <v>10000</v>
      </c>
      <c r="E17" s="9">
        <v>739000</v>
      </c>
      <c r="F17" s="9">
        <v>519000</v>
      </c>
      <c r="G17" s="13" t="s">
        <v>191</v>
      </c>
      <c r="H17" s="9">
        <v>4016000</v>
      </c>
      <c r="I17" s="9">
        <v>163000</v>
      </c>
      <c r="J17" s="9">
        <v>5793000</v>
      </c>
      <c r="K17" s="9">
        <v>490000</v>
      </c>
      <c r="L17" s="9">
        <v>5863000</v>
      </c>
      <c r="M17" s="9">
        <v>421000</v>
      </c>
    </row>
    <row r="18" spans="1:13" ht="12.45" customHeight="1">
      <c r="A18" s="10" t="s">
        <v>325</v>
      </c>
      <c r="B18" s="9">
        <v>5378000</v>
      </c>
      <c r="C18" s="9">
        <v>595000</v>
      </c>
      <c r="D18" s="13" t="s">
        <v>191</v>
      </c>
      <c r="E18" s="9">
        <v>596000</v>
      </c>
      <c r="F18" s="9">
        <v>626000</v>
      </c>
      <c r="G18" s="9">
        <v>27000</v>
      </c>
      <c r="H18" s="9">
        <v>3353000</v>
      </c>
      <c r="I18" s="9">
        <v>170000</v>
      </c>
      <c r="J18" s="9">
        <v>4788000</v>
      </c>
      <c r="K18" s="9">
        <v>590000</v>
      </c>
      <c r="L18" s="9">
        <v>5168000</v>
      </c>
      <c r="M18" s="9">
        <v>210000</v>
      </c>
    </row>
    <row r="19" spans="1:13" ht="12.45" customHeight="1">
      <c r="A19" s="10" t="s">
        <v>326</v>
      </c>
      <c r="B19" s="9">
        <v>6317000</v>
      </c>
      <c r="C19" s="9">
        <v>535000</v>
      </c>
      <c r="D19" s="9">
        <v>19000</v>
      </c>
      <c r="E19" s="9">
        <v>481000</v>
      </c>
      <c r="F19" s="9">
        <v>688000</v>
      </c>
      <c r="G19" s="13" t="s">
        <v>191</v>
      </c>
      <c r="H19" s="9">
        <v>4477000</v>
      </c>
      <c r="I19" s="9">
        <v>105000</v>
      </c>
      <c r="J19" s="9">
        <v>5411000</v>
      </c>
      <c r="K19" s="9">
        <v>906000</v>
      </c>
      <c r="L19" s="9">
        <v>6206000</v>
      </c>
      <c r="M19" s="9">
        <v>111000</v>
      </c>
    </row>
    <row r="20" spans="1:13" ht="12.45" customHeight="1">
      <c r="A20" s="10" t="s">
        <v>174</v>
      </c>
      <c r="B20" s="9">
        <v>1998000</v>
      </c>
      <c r="C20" s="9">
        <v>179000</v>
      </c>
      <c r="D20" s="9">
        <v>2000</v>
      </c>
      <c r="E20" s="9">
        <v>462000</v>
      </c>
      <c r="F20" s="9">
        <v>132000</v>
      </c>
      <c r="G20" s="9">
        <v>4000</v>
      </c>
      <c r="H20" s="9">
        <v>1177000</v>
      </c>
      <c r="I20" s="9">
        <v>42000</v>
      </c>
      <c r="J20" s="9">
        <v>1783000</v>
      </c>
      <c r="K20" s="9">
        <v>215000</v>
      </c>
      <c r="L20" s="9">
        <v>1745000</v>
      </c>
      <c r="M20" s="9">
        <v>253000</v>
      </c>
    </row>
    <row r="21" spans="1:13" ht="12.45" customHeight="1">
      <c r="A21" s="12" t="s">
        <v>323</v>
      </c>
      <c r="B21" s="9">
        <v>444000</v>
      </c>
      <c r="C21" s="9">
        <v>50000</v>
      </c>
      <c r="D21" s="13" t="s">
        <v>191</v>
      </c>
      <c r="E21" s="9">
        <v>117000</v>
      </c>
      <c r="F21" s="9">
        <v>21000</v>
      </c>
      <c r="G21" s="13" t="s">
        <v>220</v>
      </c>
      <c r="H21" s="9">
        <v>237000</v>
      </c>
      <c r="I21" s="9">
        <v>17000</v>
      </c>
      <c r="J21" s="9">
        <v>398000</v>
      </c>
      <c r="K21" s="9">
        <v>46000</v>
      </c>
      <c r="L21" s="9">
        <v>381000</v>
      </c>
      <c r="M21" s="9">
        <v>62000</v>
      </c>
    </row>
    <row r="22" spans="1:13" ht="12.45" customHeight="1">
      <c r="A22" s="12" t="s">
        <v>324</v>
      </c>
      <c r="B22" s="9">
        <v>649000</v>
      </c>
      <c r="C22" s="9">
        <v>67000</v>
      </c>
      <c r="D22" s="13" t="s">
        <v>222</v>
      </c>
      <c r="E22" s="9">
        <v>154000</v>
      </c>
      <c r="F22" s="9">
        <v>25000</v>
      </c>
      <c r="G22" s="13" t="s">
        <v>220</v>
      </c>
      <c r="H22" s="9">
        <v>387000</v>
      </c>
      <c r="I22" s="9">
        <v>16000</v>
      </c>
      <c r="J22" s="9">
        <v>588000</v>
      </c>
      <c r="K22" s="9">
        <v>62000</v>
      </c>
      <c r="L22" s="9">
        <v>511000</v>
      </c>
      <c r="M22" s="9">
        <v>139000</v>
      </c>
    </row>
    <row r="23" spans="1:13" ht="12.45" customHeight="1">
      <c r="A23" s="12" t="s">
        <v>325</v>
      </c>
      <c r="B23" s="9">
        <v>435000</v>
      </c>
      <c r="C23" s="9">
        <v>32000</v>
      </c>
      <c r="D23" s="13" t="s">
        <v>191</v>
      </c>
      <c r="E23" s="9">
        <v>114000</v>
      </c>
      <c r="F23" s="9">
        <v>41000</v>
      </c>
      <c r="G23" s="9">
        <v>2000</v>
      </c>
      <c r="H23" s="9">
        <v>240000</v>
      </c>
      <c r="I23" s="9">
        <v>7000</v>
      </c>
      <c r="J23" s="9">
        <v>386000</v>
      </c>
      <c r="K23" s="9">
        <v>49000</v>
      </c>
      <c r="L23" s="9">
        <v>398000</v>
      </c>
      <c r="M23" s="9">
        <v>37000</v>
      </c>
    </row>
    <row r="24" spans="1:13" ht="12.45" customHeight="1">
      <c r="A24" s="12" t="s">
        <v>326</v>
      </c>
      <c r="B24" s="9">
        <v>470000</v>
      </c>
      <c r="C24" s="9">
        <v>31000</v>
      </c>
      <c r="D24" s="13" t="s">
        <v>222</v>
      </c>
      <c r="E24" s="9">
        <v>77000</v>
      </c>
      <c r="F24" s="9">
        <v>45000</v>
      </c>
      <c r="G24" s="13" t="s">
        <v>191</v>
      </c>
      <c r="H24" s="9">
        <v>313000</v>
      </c>
      <c r="I24" s="9">
        <v>2000</v>
      </c>
      <c r="J24" s="9">
        <v>411000</v>
      </c>
      <c r="K24" s="9">
        <v>59000</v>
      </c>
      <c r="L24" s="9">
        <v>455000</v>
      </c>
      <c r="M24" s="9">
        <v>15000</v>
      </c>
    </row>
    <row r="25" spans="1:13" ht="12.45" customHeight="1">
      <c r="A25" s="12" t="s">
        <v>227</v>
      </c>
      <c r="B25" s="9">
        <v>326000</v>
      </c>
      <c r="C25" s="9">
        <v>34000</v>
      </c>
      <c r="D25" s="13" t="s">
        <v>222</v>
      </c>
      <c r="E25" s="9">
        <v>70000</v>
      </c>
      <c r="F25" s="9">
        <v>17000</v>
      </c>
      <c r="G25" s="13" t="s">
        <v>220</v>
      </c>
      <c r="H25" s="9">
        <v>196000</v>
      </c>
      <c r="I25" s="9">
        <v>8000</v>
      </c>
      <c r="J25" s="9">
        <v>297000</v>
      </c>
      <c r="K25" s="9">
        <v>29000</v>
      </c>
      <c r="L25" s="9">
        <v>278000</v>
      </c>
      <c r="M25" s="9">
        <v>48000</v>
      </c>
    </row>
    <row r="26" spans="1:13" ht="12.45" customHeight="1">
      <c r="A26" s="15" t="s">
        <v>323</v>
      </c>
      <c r="B26" s="9">
        <v>77000</v>
      </c>
      <c r="C26" s="9">
        <v>13000</v>
      </c>
      <c r="D26" s="13" t="s">
        <v>220</v>
      </c>
      <c r="E26" s="9">
        <v>15000</v>
      </c>
      <c r="F26" s="13" t="s">
        <v>191</v>
      </c>
      <c r="G26" s="13" t="s">
        <v>220</v>
      </c>
      <c r="H26" s="9">
        <v>39000</v>
      </c>
      <c r="I26" s="13" t="s">
        <v>191</v>
      </c>
      <c r="J26" s="9">
        <v>65000</v>
      </c>
      <c r="K26" s="9">
        <v>12000</v>
      </c>
      <c r="L26" s="9">
        <v>70000</v>
      </c>
      <c r="M26" s="9">
        <v>7000</v>
      </c>
    </row>
    <row r="27" spans="1:13" ht="12.45" customHeight="1">
      <c r="A27" s="15" t="s">
        <v>324</v>
      </c>
      <c r="B27" s="9">
        <v>111000</v>
      </c>
      <c r="C27" s="9">
        <v>13000</v>
      </c>
      <c r="D27" s="13" t="s">
        <v>220</v>
      </c>
      <c r="E27" s="9">
        <v>24000</v>
      </c>
      <c r="F27" s="9">
        <v>4000</v>
      </c>
      <c r="G27" s="13" t="s">
        <v>220</v>
      </c>
      <c r="H27" s="9">
        <v>67000</v>
      </c>
      <c r="I27" s="9">
        <v>2000</v>
      </c>
      <c r="J27" s="9">
        <v>103000</v>
      </c>
      <c r="K27" s="9">
        <v>7000</v>
      </c>
      <c r="L27" s="9">
        <v>84000</v>
      </c>
      <c r="M27" s="9">
        <v>27000</v>
      </c>
    </row>
    <row r="28" spans="1:13" ht="12.45" customHeight="1">
      <c r="A28" s="15" t="s">
        <v>325</v>
      </c>
      <c r="B28" s="9">
        <v>72000</v>
      </c>
      <c r="C28" s="9">
        <v>5000</v>
      </c>
      <c r="D28" s="13" t="s">
        <v>220</v>
      </c>
      <c r="E28" s="9">
        <v>15000</v>
      </c>
      <c r="F28" s="13" t="s">
        <v>191</v>
      </c>
      <c r="G28" s="13" t="s">
        <v>220</v>
      </c>
      <c r="H28" s="9">
        <v>46000</v>
      </c>
      <c r="I28" s="13" t="s">
        <v>222</v>
      </c>
      <c r="J28" s="9">
        <v>69000</v>
      </c>
      <c r="K28" s="9">
        <v>4000</v>
      </c>
      <c r="L28" s="9">
        <v>63000</v>
      </c>
      <c r="M28" s="9">
        <v>10000</v>
      </c>
    </row>
    <row r="29" spans="1:13" ht="12.45" customHeight="1">
      <c r="A29" s="15" t="s">
        <v>326</v>
      </c>
      <c r="B29" s="9">
        <v>65000</v>
      </c>
      <c r="C29" s="9">
        <v>3000</v>
      </c>
      <c r="D29" s="13" t="s">
        <v>220</v>
      </c>
      <c r="E29" s="9">
        <v>16000</v>
      </c>
      <c r="F29" s="13" t="s">
        <v>191</v>
      </c>
      <c r="G29" s="13" t="s">
        <v>220</v>
      </c>
      <c r="H29" s="9">
        <v>44000</v>
      </c>
      <c r="I29" s="9">
        <v>1000</v>
      </c>
      <c r="J29" s="9">
        <v>60000</v>
      </c>
      <c r="K29" s="9">
        <v>6000</v>
      </c>
      <c r="L29" s="9">
        <v>61000</v>
      </c>
      <c r="M29" s="9">
        <v>4000</v>
      </c>
    </row>
    <row r="30" spans="1:13" ht="12.45" customHeight="1">
      <c r="A30" s="12" t="s">
        <v>228</v>
      </c>
      <c r="B30" s="9">
        <v>972000</v>
      </c>
      <c r="C30" s="9">
        <v>69000</v>
      </c>
      <c r="D30" s="13" t="s">
        <v>220</v>
      </c>
      <c r="E30" s="9">
        <v>295000</v>
      </c>
      <c r="F30" s="9">
        <v>81000</v>
      </c>
      <c r="G30" s="13" t="s">
        <v>191</v>
      </c>
      <c r="H30" s="9">
        <v>512000</v>
      </c>
      <c r="I30" s="9">
        <v>14000</v>
      </c>
      <c r="J30" s="9">
        <v>868000</v>
      </c>
      <c r="K30" s="9">
        <v>105000</v>
      </c>
      <c r="L30" s="9">
        <v>828000</v>
      </c>
      <c r="M30" s="9">
        <v>144000</v>
      </c>
    </row>
    <row r="31" spans="1:13" ht="12.45" customHeight="1">
      <c r="A31" s="15" t="s">
        <v>323</v>
      </c>
      <c r="B31" s="9">
        <v>187000</v>
      </c>
      <c r="C31" s="9">
        <v>17000</v>
      </c>
      <c r="D31" s="13" t="s">
        <v>220</v>
      </c>
      <c r="E31" s="9">
        <v>72000</v>
      </c>
      <c r="F31" s="9">
        <v>12000</v>
      </c>
      <c r="G31" s="13" t="s">
        <v>220</v>
      </c>
      <c r="H31" s="9">
        <v>80000</v>
      </c>
      <c r="I31" s="9">
        <v>6000</v>
      </c>
      <c r="J31" s="9">
        <v>168000</v>
      </c>
      <c r="K31" s="9">
        <v>19000</v>
      </c>
      <c r="L31" s="9">
        <v>147000</v>
      </c>
      <c r="M31" s="9">
        <v>40000</v>
      </c>
    </row>
    <row r="32" spans="1:13" ht="12.45" customHeight="1">
      <c r="A32" s="15" t="s">
        <v>324</v>
      </c>
      <c r="B32" s="9">
        <v>287000</v>
      </c>
      <c r="C32" s="9">
        <v>20000</v>
      </c>
      <c r="D32" s="13" t="s">
        <v>220</v>
      </c>
      <c r="E32" s="9">
        <v>94000</v>
      </c>
      <c r="F32" s="9">
        <v>12000</v>
      </c>
      <c r="G32" s="13" t="s">
        <v>220</v>
      </c>
      <c r="H32" s="9">
        <v>157000</v>
      </c>
      <c r="I32" s="9">
        <v>4000</v>
      </c>
      <c r="J32" s="9">
        <v>260000</v>
      </c>
      <c r="K32" s="9">
        <v>27000</v>
      </c>
      <c r="L32" s="9">
        <v>210000</v>
      </c>
      <c r="M32" s="9">
        <v>77000</v>
      </c>
    </row>
    <row r="33" spans="1:13" ht="12.45" customHeight="1">
      <c r="A33" s="15" t="s">
        <v>325</v>
      </c>
      <c r="B33" s="9">
        <v>225000</v>
      </c>
      <c r="C33" s="9">
        <v>10000</v>
      </c>
      <c r="D33" s="13" t="s">
        <v>220</v>
      </c>
      <c r="E33" s="9">
        <v>81000</v>
      </c>
      <c r="F33" s="9">
        <v>27000</v>
      </c>
      <c r="G33" s="13" t="s">
        <v>220</v>
      </c>
      <c r="H33" s="9">
        <v>104000</v>
      </c>
      <c r="I33" s="9">
        <v>3000</v>
      </c>
      <c r="J33" s="9">
        <v>201000</v>
      </c>
      <c r="K33" s="9">
        <v>25000</v>
      </c>
      <c r="L33" s="9">
        <v>205000</v>
      </c>
      <c r="M33" s="9">
        <v>21000</v>
      </c>
    </row>
    <row r="34" spans="1:13" ht="12.45" customHeight="1">
      <c r="A34" s="15" t="s">
        <v>326</v>
      </c>
      <c r="B34" s="9">
        <v>272000</v>
      </c>
      <c r="C34" s="9">
        <v>22000</v>
      </c>
      <c r="D34" s="13" t="s">
        <v>220</v>
      </c>
      <c r="E34" s="9">
        <v>48000</v>
      </c>
      <c r="F34" s="9">
        <v>30000</v>
      </c>
      <c r="G34" s="13" t="s">
        <v>220</v>
      </c>
      <c r="H34" s="9">
        <v>171000</v>
      </c>
      <c r="I34" s="13" t="s">
        <v>191</v>
      </c>
      <c r="J34" s="9">
        <v>239000</v>
      </c>
      <c r="K34" s="9">
        <v>33000</v>
      </c>
      <c r="L34" s="9">
        <v>266000</v>
      </c>
      <c r="M34" s="13" t="s">
        <v>191</v>
      </c>
    </row>
    <row r="35" spans="1:13" ht="12.45" customHeight="1">
      <c r="A35" s="12" t="s">
        <v>229</v>
      </c>
      <c r="B35" s="9">
        <v>116000</v>
      </c>
      <c r="C35" s="9">
        <v>10000</v>
      </c>
      <c r="D35" s="13" t="s">
        <v>220</v>
      </c>
      <c r="E35" s="9">
        <v>14000</v>
      </c>
      <c r="F35" s="9">
        <v>3000</v>
      </c>
      <c r="G35" s="13" t="s">
        <v>220</v>
      </c>
      <c r="H35" s="9">
        <v>85000</v>
      </c>
      <c r="I35" s="9">
        <v>3000</v>
      </c>
      <c r="J35" s="9">
        <v>98000</v>
      </c>
      <c r="K35" s="9">
        <v>18000</v>
      </c>
      <c r="L35" s="9">
        <v>104000</v>
      </c>
      <c r="M35" s="9">
        <v>12000</v>
      </c>
    </row>
    <row r="36" spans="1:13" ht="12.45" customHeight="1">
      <c r="A36" s="15" t="s">
        <v>323</v>
      </c>
      <c r="B36" s="9">
        <v>27000</v>
      </c>
      <c r="C36" s="9">
        <v>3000</v>
      </c>
      <c r="D36" s="13" t="s">
        <v>220</v>
      </c>
      <c r="E36" s="9">
        <v>4000</v>
      </c>
      <c r="F36" s="13" t="s">
        <v>222</v>
      </c>
      <c r="G36" s="13" t="s">
        <v>220</v>
      </c>
      <c r="H36" s="9">
        <v>18000</v>
      </c>
      <c r="I36" s="13" t="s">
        <v>220</v>
      </c>
      <c r="J36" s="9">
        <v>23000</v>
      </c>
      <c r="K36" s="9">
        <v>3000</v>
      </c>
      <c r="L36" s="9">
        <v>23000</v>
      </c>
      <c r="M36" s="9">
        <v>3000</v>
      </c>
    </row>
    <row r="37" spans="1:13" ht="12.45" customHeight="1">
      <c r="A37" s="15" t="s">
        <v>324</v>
      </c>
      <c r="B37" s="9">
        <v>49000</v>
      </c>
      <c r="C37" s="9">
        <v>3000</v>
      </c>
      <c r="D37" s="13" t="s">
        <v>220</v>
      </c>
      <c r="E37" s="9">
        <v>5000</v>
      </c>
      <c r="F37" s="9">
        <v>1000</v>
      </c>
      <c r="G37" s="13" t="s">
        <v>220</v>
      </c>
      <c r="H37" s="9">
        <v>39000</v>
      </c>
      <c r="I37" s="9">
        <v>1000</v>
      </c>
      <c r="J37" s="9">
        <v>41000</v>
      </c>
      <c r="K37" s="9">
        <v>8000</v>
      </c>
      <c r="L37" s="9">
        <v>42000</v>
      </c>
      <c r="M37" s="9">
        <v>7000</v>
      </c>
    </row>
    <row r="38" spans="1:13" ht="12.45" customHeight="1">
      <c r="A38" s="15" t="s">
        <v>325</v>
      </c>
      <c r="B38" s="9">
        <v>24000</v>
      </c>
      <c r="C38" s="9">
        <v>3000</v>
      </c>
      <c r="D38" s="13" t="s">
        <v>220</v>
      </c>
      <c r="E38" s="9">
        <v>2000</v>
      </c>
      <c r="F38" s="13" t="s">
        <v>191</v>
      </c>
      <c r="G38" s="13" t="s">
        <v>220</v>
      </c>
      <c r="H38" s="9">
        <v>17000</v>
      </c>
      <c r="I38" s="13" t="s">
        <v>222</v>
      </c>
      <c r="J38" s="9">
        <v>20000</v>
      </c>
      <c r="K38" s="9">
        <v>4000</v>
      </c>
      <c r="L38" s="9">
        <v>23000</v>
      </c>
      <c r="M38" s="13" t="s">
        <v>191</v>
      </c>
    </row>
    <row r="39" spans="1:13" ht="12.45" customHeight="1">
      <c r="A39" s="15" t="s">
        <v>326</v>
      </c>
      <c r="B39" s="9">
        <v>16000</v>
      </c>
      <c r="C39" s="9">
        <v>1000</v>
      </c>
      <c r="D39" s="13" t="s">
        <v>220</v>
      </c>
      <c r="E39" s="9">
        <v>3000</v>
      </c>
      <c r="F39" s="9">
        <v>1000</v>
      </c>
      <c r="G39" s="13" t="s">
        <v>220</v>
      </c>
      <c r="H39" s="9">
        <v>11000</v>
      </c>
      <c r="I39" s="13" t="s">
        <v>220</v>
      </c>
      <c r="J39" s="9">
        <v>14000</v>
      </c>
      <c r="K39" s="9">
        <v>2000</v>
      </c>
      <c r="L39" s="9">
        <v>15000</v>
      </c>
      <c r="M39" s="9">
        <v>1000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1DDF4-8178-4B8C-8E0A-8A5DF184077E}">
  <dimension ref="A1:K42"/>
  <sheetViews>
    <sheetView tabSelected="1" workbookViewId="0">
      <selection activeCell="B22" sqref="B22"/>
    </sheetView>
  </sheetViews>
  <sheetFormatPr defaultRowHeight="13.2"/>
  <cols>
    <col min="1" max="1" width="67.77734375" bestFit="1" customWidth="1"/>
    <col min="2" max="2" width="20.77734375" customWidth="1"/>
    <col min="3" max="3" width="68.33203125" bestFit="1" customWidth="1"/>
    <col min="4" max="4" width="19.109375" customWidth="1"/>
    <col min="7" max="7" width="36.44140625" bestFit="1" customWidth="1"/>
    <col min="8" max="8" width="19.109375" customWidth="1"/>
    <col min="9" max="9" width="36.44140625" bestFit="1" customWidth="1"/>
    <col min="10" max="10" width="15.4414062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0.73916491719150923</v>
      </c>
      <c r="C3" s="285" t="s">
        <v>67</v>
      </c>
      <c r="D3">
        <v>5.4793561931420598E-2</v>
      </c>
      <c r="G3" s="285" t="s">
        <v>68</v>
      </c>
      <c r="H3" s="263">
        <v>70000</v>
      </c>
      <c r="I3" s="285" t="s">
        <v>69</v>
      </c>
      <c r="J3" s="296">
        <f>12448.9151488521</f>
        <v>12448.9151488521</v>
      </c>
    </row>
    <row r="4" spans="1:11">
      <c r="C4" s="285" t="s">
        <v>70</v>
      </c>
      <c r="D4">
        <v>0.206018194541638</v>
      </c>
      <c r="G4" t="s">
        <v>71</v>
      </c>
      <c r="H4" s="263">
        <v>69212</v>
      </c>
      <c r="I4" s="285" t="s">
        <v>72</v>
      </c>
      <c r="J4" s="296">
        <v>69784</v>
      </c>
    </row>
    <row r="5" spans="1:11">
      <c r="A5" s="285" t="s">
        <v>73</v>
      </c>
      <c r="B5">
        <v>0.43660060590759908</v>
      </c>
      <c r="C5" s="285" t="s">
        <v>74</v>
      </c>
      <c r="D5">
        <v>0.26047715223428403</v>
      </c>
      <c r="H5" s="263"/>
      <c r="I5" s="285" t="s">
        <v>75</v>
      </c>
      <c r="J5" s="296">
        <f>27146</f>
        <v>27146</v>
      </c>
    </row>
    <row r="6" spans="1:11">
      <c r="A6" t="s">
        <v>76</v>
      </c>
      <c r="C6" t="s">
        <v>77</v>
      </c>
      <c r="G6" s="290" t="s">
        <v>78</v>
      </c>
      <c r="H6" s="263">
        <f>SUM(H3:H4)</f>
        <v>139212</v>
      </c>
      <c r="I6" s="290" t="s">
        <v>78</v>
      </c>
      <c r="J6" s="296">
        <f>SUM(J3:J5)</f>
        <v>109378.9151488521</v>
      </c>
    </row>
    <row r="7" spans="1:11">
      <c r="A7" t="s">
        <v>79</v>
      </c>
      <c r="B7">
        <v>0.49946351931330474</v>
      </c>
      <c r="C7" t="s">
        <v>79</v>
      </c>
      <c r="D7">
        <v>0</v>
      </c>
    </row>
    <row r="8" spans="1:11">
      <c r="A8" t="s">
        <v>80</v>
      </c>
      <c r="B8">
        <v>0</v>
      </c>
      <c r="C8" t="s">
        <v>80</v>
      </c>
      <c r="D8">
        <f>50.0536480686695%</f>
        <v>0.50053648068669498</v>
      </c>
    </row>
    <row r="9" spans="1:11">
      <c r="A9" t="s">
        <v>81</v>
      </c>
      <c r="B9">
        <v>0.11035723302196415</v>
      </c>
      <c r="C9" t="s">
        <v>81</v>
      </c>
      <c r="D9">
        <v>0</v>
      </c>
    </row>
    <row r="10" spans="1:11">
      <c r="A10" t="s">
        <v>82</v>
      </c>
      <c r="B10">
        <v>2.019691996970462E-3</v>
      </c>
      <c r="C10" t="s">
        <v>82</v>
      </c>
      <c r="D10">
        <v>0</v>
      </c>
      <c r="G10" s="285" t="s">
        <v>53</v>
      </c>
      <c r="H10" s="263">
        <f>H6-J6</f>
        <v>29833.084851147898</v>
      </c>
    </row>
    <row r="11" spans="1:11">
      <c r="A11" t="s">
        <v>83</v>
      </c>
      <c r="B11">
        <v>0</v>
      </c>
      <c r="C11" t="s">
        <v>83</v>
      </c>
      <c r="D11">
        <f>9.09492552385761%</f>
        <v>9.0949255238576096E-2</v>
      </c>
      <c r="G11" s="285" t="s">
        <v>55</v>
      </c>
      <c r="H11">
        <f>ABS(H6/J6)</f>
        <v>1.2727498696668229</v>
      </c>
    </row>
    <row r="12" spans="1:11">
      <c r="A12" t="s">
        <v>84</v>
      </c>
      <c r="B12">
        <v>7.6054026760918964E-2</v>
      </c>
      <c r="C12" t="s">
        <v>84</v>
      </c>
      <c r="D12">
        <v>0</v>
      </c>
      <c r="G12" s="285" t="s">
        <v>56</v>
      </c>
      <c r="H12" s="296">
        <f>PV(0.04,4,,-H6)</f>
        <v>118999.00104163017</v>
      </c>
      <c r="I12" s="285" t="s">
        <v>85</v>
      </c>
    </row>
    <row r="13" spans="1:11">
      <c r="A13" t="s">
        <v>86</v>
      </c>
      <c r="B13">
        <v>3.0610956829083564E-3</v>
      </c>
      <c r="C13" t="s">
        <v>86</v>
      </c>
      <c r="D13">
        <v>0</v>
      </c>
      <c r="G13" s="285" t="s">
        <v>57</v>
      </c>
      <c r="H13" s="296">
        <f>PV(0.04,4,,-J6)</f>
        <v>93497.555079523532</v>
      </c>
    </row>
    <row r="14" spans="1:11">
      <c r="A14" t="s">
        <v>87</v>
      </c>
      <c r="B14">
        <v>0.69095556677606662</v>
      </c>
      <c r="C14" t="s">
        <v>87</v>
      </c>
      <c r="D14">
        <v>0</v>
      </c>
      <c r="G14" s="285" t="s">
        <v>58</v>
      </c>
      <c r="H14" s="296">
        <f>H12-H13</f>
        <v>25501.445962106634</v>
      </c>
    </row>
    <row r="15" spans="1:11">
      <c r="A15" t="s">
        <v>88</v>
      </c>
      <c r="B15">
        <v>2.6666245897500631E-2</v>
      </c>
      <c r="C15" t="s">
        <v>88</v>
      </c>
      <c r="D15">
        <v>0</v>
      </c>
      <c r="G15" t="s">
        <v>59</v>
      </c>
      <c r="H15">
        <f>ABS(H10/J6)</f>
        <v>0.27274986966682296</v>
      </c>
    </row>
    <row r="16" spans="1:11">
      <c r="A16" t="s">
        <v>89</v>
      </c>
      <c r="B16">
        <v>0</v>
      </c>
      <c r="C16" t="s">
        <v>89</v>
      </c>
      <c r="D16">
        <f>86.8025751072961%</f>
        <v>0.86802575107296098</v>
      </c>
    </row>
    <row r="17" spans="1:4">
      <c r="A17" t="s">
        <v>90</v>
      </c>
      <c r="B17">
        <v>0.13197424892703863</v>
      </c>
      <c r="C17" t="s">
        <v>90</v>
      </c>
      <c r="D17">
        <v>0</v>
      </c>
    </row>
    <row r="18" spans="1:4">
      <c r="A18" t="s">
        <v>91</v>
      </c>
      <c r="B18">
        <v>9.7287690286685727E-2</v>
      </c>
      <c r="C18" t="s">
        <v>91</v>
      </c>
      <c r="D18">
        <v>0</v>
      </c>
    </row>
    <row r="19" spans="1:4">
      <c r="A19" t="s">
        <v>92</v>
      </c>
      <c r="B19">
        <v>0.51487520284367516</v>
      </c>
      <c r="C19" t="s">
        <v>92</v>
      </c>
      <c r="D19">
        <v>0</v>
      </c>
    </row>
    <row r="20" spans="1:4">
      <c r="A20" t="s">
        <v>93</v>
      </c>
      <c r="C20" t="s">
        <v>94</v>
      </c>
    </row>
    <row r="21" spans="1:4">
      <c r="A21" t="s">
        <v>104</v>
      </c>
      <c r="B21">
        <v>19.338991242185482</v>
      </c>
      <c r="C21" t="s">
        <v>104</v>
      </c>
      <c r="D21">
        <v>4.4756184520294298</v>
      </c>
    </row>
    <row r="22" spans="1:4">
      <c r="A22" t="s">
        <v>79</v>
      </c>
      <c r="B22">
        <v>6.6136646966029566</v>
      </c>
      <c r="C22" t="s">
        <v>79</v>
      </c>
      <c r="D22">
        <v>2.4310303746753101</v>
      </c>
    </row>
    <row r="23" spans="1:4">
      <c r="A23" t="s">
        <v>80</v>
      </c>
      <c r="B23">
        <v>10.786259767890146</v>
      </c>
      <c r="C23" t="s">
        <v>80</v>
      </c>
      <c r="D23">
        <v>3.9716892532442101</v>
      </c>
    </row>
    <row r="24" spans="1:4">
      <c r="A24" t="s">
        <v>95</v>
      </c>
      <c r="B24">
        <v>0.67956324160565518</v>
      </c>
      <c r="C24" t="s">
        <v>96</v>
      </c>
      <c r="D24">
        <v>0.32043675839434499</v>
      </c>
    </row>
    <row r="25" spans="1:4">
      <c r="A25" t="s">
        <v>97</v>
      </c>
      <c r="B25">
        <v>1.2500000000000001E-2</v>
      </c>
      <c r="C25" t="s">
        <v>98</v>
      </c>
      <c r="D25">
        <v>0</v>
      </c>
    </row>
    <row r="26" spans="1:4">
      <c r="A26" t="s">
        <v>99</v>
      </c>
      <c r="C26" t="s">
        <v>100</v>
      </c>
    </row>
    <row r="27" spans="1:4">
      <c r="A27" t="s">
        <v>101</v>
      </c>
      <c r="B27">
        <v>8.8000000000000005E-3</v>
      </c>
      <c r="C27" t="s">
        <v>101</v>
      </c>
      <c r="D27">
        <v>0</v>
      </c>
    </row>
    <row r="28" spans="1:4">
      <c r="A28" t="s">
        <v>79</v>
      </c>
      <c r="B28">
        <v>0.01</v>
      </c>
      <c r="C28" t="s">
        <v>79</v>
      </c>
      <c r="D28">
        <v>0</v>
      </c>
    </row>
    <row r="29" spans="1:4">
      <c r="A29" t="s">
        <v>80</v>
      </c>
      <c r="B29">
        <v>7.7000000000000002E-3</v>
      </c>
      <c r="C29" t="s">
        <v>80</v>
      </c>
      <c r="D29">
        <v>0</v>
      </c>
    </row>
    <row r="30" spans="1:4">
      <c r="A30" t="s">
        <v>102</v>
      </c>
      <c r="B30">
        <v>8.8000000000000005E-3</v>
      </c>
      <c r="C30" t="s">
        <v>102</v>
      </c>
      <c r="D30">
        <v>0</v>
      </c>
    </row>
    <row r="31" spans="1:4">
      <c r="A31" t="s">
        <v>91</v>
      </c>
      <c r="B31">
        <v>1.4500000000000001E-2</v>
      </c>
      <c r="C31" t="s">
        <v>91</v>
      </c>
      <c r="D31">
        <v>0</v>
      </c>
    </row>
    <row r="32" spans="1:4">
      <c r="A32" t="s">
        <v>92</v>
      </c>
      <c r="B32">
        <v>7.9000000000000008E-3</v>
      </c>
      <c r="C32" t="s">
        <v>92</v>
      </c>
      <c r="D32">
        <v>0</v>
      </c>
    </row>
    <row r="33" spans="1:4">
      <c r="A33" s="290" t="s">
        <v>78</v>
      </c>
      <c r="B33">
        <f>SUM(B3:B32)</f>
        <v>40.817158992890384</v>
      </c>
      <c r="C33" s="290" t="s">
        <v>78</v>
      </c>
      <c r="D33">
        <f>SUM(D3:D32)</f>
        <v>13.179575234048871</v>
      </c>
    </row>
    <row r="35" spans="1:4">
      <c r="A35" s="320" t="s">
        <v>103</v>
      </c>
      <c r="B35" s="320"/>
      <c r="C35" s="320"/>
      <c r="D35" s="320"/>
    </row>
    <row r="37" spans="1:4">
      <c r="A37" s="290" t="s">
        <v>53</v>
      </c>
      <c r="B37">
        <f>B33-D33</f>
        <v>27.637583758841515</v>
      </c>
    </row>
    <row r="38" spans="1:4">
      <c r="A38" s="290" t="s">
        <v>54</v>
      </c>
      <c r="B38">
        <f>ABS(B33/D33)</f>
        <v>3.0970010996591903</v>
      </c>
    </row>
    <row r="39" spans="1:4">
      <c r="A39" s="290" t="s">
        <v>56</v>
      </c>
      <c r="B39" s="296">
        <f>PV(0.04,4,,-B33)</f>
        <v>34.890678573049357</v>
      </c>
    </row>
    <row r="40" spans="1:4">
      <c r="A40" s="290" t="s">
        <v>57</v>
      </c>
      <c r="B40" s="296">
        <f>PV(0.04,4,,-D33)</f>
        <v>11.265956146056553</v>
      </c>
    </row>
    <row r="41" spans="1:4">
      <c r="A41" s="290" t="s">
        <v>58</v>
      </c>
      <c r="B41" s="296">
        <f>B39-B40</f>
        <v>23.624722426992804</v>
      </c>
    </row>
    <row r="42" spans="1:4">
      <c r="A42" s="290" t="s">
        <v>59</v>
      </c>
      <c r="B42">
        <f>ABS(B37/D33)</f>
        <v>2.0970010996591903</v>
      </c>
    </row>
  </sheetData>
  <mergeCells count="3">
    <mergeCell ref="A35:D35"/>
    <mergeCell ref="A1:D1"/>
    <mergeCell ref="G1:K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249977111117893"/>
  </sheetPr>
  <dimension ref="A1:N39"/>
  <sheetViews>
    <sheetView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39" customHeight="1">
      <c r="A1" s="321" t="s">
        <v>330</v>
      </c>
      <c r="B1" s="321"/>
      <c r="C1" s="321"/>
      <c r="D1" s="321"/>
      <c r="E1" s="321"/>
      <c r="F1" s="321"/>
      <c r="G1" s="321"/>
      <c r="H1" s="321"/>
      <c r="I1" s="321"/>
      <c r="J1" s="321"/>
      <c r="K1" s="321"/>
      <c r="L1" s="321"/>
      <c r="M1" s="321"/>
      <c r="N1" s="321"/>
    </row>
    <row r="2" spans="1:14" ht="1.95" customHeight="1"/>
    <row r="3" spans="1:14" ht="13.95" customHeight="1">
      <c r="A3" s="339" t="s">
        <v>331</v>
      </c>
      <c r="B3" s="345" t="s">
        <v>167</v>
      </c>
      <c r="C3" s="349" t="s">
        <v>265</v>
      </c>
      <c r="D3" s="330" t="s">
        <v>266</v>
      </c>
      <c r="E3" s="331"/>
      <c r="F3" s="331"/>
      <c r="G3" s="331"/>
      <c r="H3" s="331"/>
      <c r="I3" s="332"/>
      <c r="J3" s="349" t="s">
        <v>267</v>
      </c>
      <c r="K3" s="349" t="s">
        <v>268</v>
      </c>
      <c r="L3" s="349" t="s">
        <v>332</v>
      </c>
      <c r="M3" s="349" t="s">
        <v>333</v>
      </c>
    </row>
    <row r="4" spans="1:14" ht="13.95" customHeight="1">
      <c r="A4" s="341"/>
      <c r="B4" s="346"/>
      <c r="C4" s="350"/>
      <c r="D4" s="41" t="s">
        <v>270</v>
      </c>
      <c r="E4" s="41" t="s">
        <v>271</v>
      </c>
      <c r="F4" s="41" t="s">
        <v>272</v>
      </c>
      <c r="G4" s="41" t="s">
        <v>273</v>
      </c>
      <c r="H4" s="41" t="s">
        <v>274</v>
      </c>
      <c r="I4" s="5" t="s">
        <v>275</v>
      </c>
      <c r="J4" s="350"/>
      <c r="K4" s="350"/>
      <c r="L4" s="350"/>
      <c r="M4" s="350"/>
    </row>
    <row r="5" spans="1:14" ht="12.45" customHeight="1">
      <c r="A5" s="18" t="s">
        <v>230</v>
      </c>
      <c r="B5" s="7">
        <v>301000</v>
      </c>
      <c r="C5" s="7">
        <v>35000</v>
      </c>
      <c r="D5" s="19" t="s">
        <v>222</v>
      </c>
      <c r="E5" s="7">
        <v>20000</v>
      </c>
      <c r="F5" s="7">
        <v>22000</v>
      </c>
      <c r="G5" s="19" t="s">
        <v>220</v>
      </c>
      <c r="H5" s="7">
        <v>213000</v>
      </c>
      <c r="I5" s="7">
        <v>10000</v>
      </c>
      <c r="J5" s="7">
        <v>266000</v>
      </c>
      <c r="K5" s="7">
        <v>35000</v>
      </c>
      <c r="L5" s="7">
        <v>284000</v>
      </c>
      <c r="M5" s="7">
        <v>17000</v>
      </c>
    </row>
    <row r="6" spans="1:14" ht="12.45" customHeight="1">
      <c r="A6" s="15" t="s">
        <v>323</v>
      </c>
      <c r="B6" s="9">
        <v>61000</v>
      </c>
      <c r="C6" s="9">
        <v>5000</v>
      </c>
      <c r="D6" s="13" t="s">
        <v>220</v>
      </c>
      <c r="E6" s="9">
        <v>7000</v>
      </c>
      <c r="F6" s="9">
        <v>2000</v>
      </c>
      <c r="G6" s="13" t="s">
        <v>220</v>
      </c>
      <c r="H6" s="9">
        <v>45000</v>
      </c>
      <c r="I6" s="9">
        <v>1000</v>
      </c>
      <c r="J6" s="9">
        <v>58000</v>
      </c>
      <c r="K6" s="9">
        <v>3000</v>
      </c>
      <c r="L6" s="9">
        <v>57000</v>
      </c>
      <c r="M6" s="9">
        <v>4000</v>
      </c>
    </row>
    <row r="7" spans="1:14" ht="12.45" customHeight="1">
      <c r="A7" s="15" t="s">
        <v>324</v>
      </c>
      <c r="B7" s="9">
        <v>107000</v>
      </c>
      <c r="C7" s="9">
        <v>17000</v>
      </c>
      <c r="D7" s="13" t="s">
        <v>220</v>
      </c>
      <c r="E7" s="9">
        <v>8000</v>
      </c>
      <c r="F7" s="9">
        <v>5000</v>
      </c>
      <c r="G7" s="13" t="s">
        <v>220</v>
      </c>
      <c r="H7" s="9">
        <v>71000</v>
      </c>
      <c r="I7" s="13" t="s">
        <v>191</v>
      </c>
      <c r="J7" s="9">
        <v>95000</v>
      </c>
      <c r="K7" s="9">
        <v>12000</v>
      </c>
      <c r="L7" s="9">
        <v>98000</v>
      </c>
      <c r="M7" s="9">
        <v>8000</v>
      </c>
    </row>
    <row r="8" spans="1:14" ht="12.45" customHeight="1">
      <c r="A8" s="15" t="s">
        <v>325</v>
      </c>
      <c r="B8" s="9">
        <v>69000</v>
      </c>
      <c r="C8" s="9">
        <v>8000</v>
      </c>
      <c r="D8" s="13" t="s">
        <v>220</v>
      </c>
      <c r="E8" s="9">
        <v>4000</v>
      </c>
      <c r="F8" s="9">
        <v>7000</v>
      </c>
      <c r="G8" s="13" t="s">
        <v>220</v>
      </c>
      <c r="H8" s="9">
        <v>46000</v>
      </c>
      <c r="I8" s="9">
        <v>2000</v>
      </c>
      <c r="J8" s="9">
        <v>59000</v>
      </c>
      <c r="K8" s="9">
        <v>10000</v>
      </c>
      <c r="L8" s="9">
        <v>66000</v>
      </c>
      <c r="M8" s="9">
        <v>2000</v>
      </c>
    </row>
    <row r="9" spans="1:14" ht="12.45" customHeight="1">
      <c r="A9" s="15" t="s">
        <v>326</v>
      </c>
      <c r="B9" s="9">
        <v>65000</v>
      </c>
      <c r="C9" s="9">
        <v>4000</v>
      </c>
      <c r="D9" s="13" t="s">
        <v>220</v>
      </c>
      <c r="E9" s="9">
        <v>2000</v>
      </c>
      <c r="F9" s="9">
        <v>7000</v>
      </c>
      <c r="G9" s="13" t="s">
        <v>220</v>
      </c>
      <c r="H9" s="9">
        <v>51000</v>
      </c>
      <c r="I9" s="13" t="s">
        <v>222</v>
      </c>
      <c r="J9" s="9">
        <v>54000</v>
      </c>
      <c r="K9" s="9">
        <v>10000</v>
      </c>
      <c r="L9" s="9">
        <v>63000</v>
      </c>
      <c r="M9" s="13" t="s">
        <v>191</v>
      </c>
    </row>
    <row r="10" spans="1:14" ht="12.45" customHeight="1">
      <c r="A10" s="12" t="s">
        <v>231</v>
      </c>
      <c r="B10" s="9">
        <v>284000</v>
      </c>
      <c r="C10" s="9">
        <v>32000</v>
      </c>
      <c r="D10" s="13" t="s">
        <v>220</v>
      </c>
      <c r="E10" s="9">
        <v>63000</v>
      </c>
      <c r="F10" s="9">
        <v>9000</v>
      </c>
      <c r="G10" s="13" t="s">
        <v>220</v>
      </c>
      <c r="H10" s="9">
        <v>171000</v>
      </c>
      <c r="I10" s="9">
        <v>7000</v>
      </c>
      <c r="J10" s="9">
        <v>255000</v>
      </c>
      <c r="K10" s="9">
        <v>28000</v>
      </c>
      <c r="L10" s="9">
        <v>251000</v>
      </c>
      <c r="M10" s="9">
        <v>32000</v>
      </c>
    </row>
    <row r="11" spans="1:14" ht="12.45" customHeight="1">
      <c r="A11" s="15" t="s">
        <v>323</v>
      </c>
      <c r="B11" s="9">
        <v>92000</v>
      </c>
      <c r="C11" s="9">
        <v>12000</v>
      </c>
      <c r="D11" s="13" t="s">
        <v>220</v>
      </c>
      <c r="E11" s="9">
        <v>20000</v>
      </c>
      <c r="F11" s="9">
        <v>1000</v>
      </c>
      <c r="G11" s="13" t="s">
        <v>220</v>
      </c>
      <c r="H11" s="9">
        <v>55000</v>
      </c>
      <c r="I11" s="9">
        <v>3000</v>
      </c>
      <c r="J11" s="9">
        <v>84000</v>
      </c>
      <c r="K11" s="9">
        <v>8000</v>
      </c>
      <c r="L11" s="9">
        <v>85000</v>
      </c>
      <c r="M11" s="9">
        <v>7000</v>
      </c>
    </row>
    <row r="12" spans="1:14" ht="12.45" customHeight="1">
      <c r="A12" s="15" t="s">
        <v>324</v>
      </c>
      <c r="B12" s="9">
        <v>96000</v>
      </c>
      <c r="C12" s="9">
        <v>14000</v>
      </c>
      <c r="D12" s="13" t="s">
        <v>220</v>
      </c>
      <c r="E12" s="9">
        <v>23000</v>
      </c>
      <c r="F12" s="9">
        <v>2000</v>
      </c>
      <c r="G12" s="13" t="s">
        <v>220</v>
      </c>
      <c r="H12" s="9">
        <v>54000</v>
      </c>
      <c r="I12" s="9">
        <v>3000</v>
      </c>
      <c r="J12" s="9">
        <v>88000</v>
      </c>
      <c r="K12" s="9">
        <v>7000</v>
      </c>
      <c r="L12" s="9">
        <v>76000</v>
      </c>
      <c r="M12" s="9">
        <v>19000</v>
      </c>
    </row>
    <row r="13" spans="1:14" ht="12.45" customHeight="1">
      <c r="A13" s="15" t="s">
        <v>325</v>
      </c>
      <c r="B13" s="9">
        <v>45000</v>
      </c>
      <c r="C13" s="9">
        <v>5000</v>
      </c>
      <c r="D13" s="13" t="s">
        <v>220</v>
      </c>
      <c r="E13" s="9">
        <v>10000</v>
      </c>
      <c r="F13" s="9">
        <v>1000</v>
      </c>
      <c r="G13" s="13" t="s">
        <v>220</v>
      </c>
      <c r="H13" s="9">
        <v>27000</v>
      </c>
      <c r="I13" s="9">
        <v>1000</v>
      </c>
      <c r="J13" s="9">
        <v>39000</v>
      </c>
      <c r="K13" s="13" t="s">
        <v>191</v>
      </c>
      <c r="L13" s="9">
        <v>42000</v>
      </c>
      <c r="M13" s="9">
        <v>3000</v>
      </c>
    </row>
    <row r="14" spans="1:14" ht="12.45" customHeight="1">
      <c r="A14" s="15" t="s">
        <v>326</v>
      </c>
      <c r="B14" s="9">
        <v>52000</v>
      </c>
      <c r="C14" s="9">
        <v>2000</v>
      </c>
      <c r="D14" s="13" t="s">
        <v>220</v>
      </c>
      <c r="E14" s="9">
        <v>10000</v>
      </c>
      <c r="F14" s="9">
        <v>4000</v>
      </c>
      <c r="G14" s="13" t="s">
        <v>220</v>
      </c>
      <c r="H14" s="9">
        <v>36000</v>
      </c>
      <c r="I14" s="13" t="s">
        <v>222</v>
      </c>
      <c r="J14" s="9">
        <v>45000</v>
      </c>
      <c r="K14" s="9">
        <v>7000</v>
      </c>
      <c r="L14" s="9">
        <v>49000</v>
      </c>
      <c r="M14" s="13" t="s">
        <v>191</v>
      </c>
    </row>
    <row r="15" spans="1:14" ht="12.45" customHeight="1">
      <c r="A15" s="10" t="s">
        <v>175</v>
      </c>
      <c r="B15" s="9">
        <v>4380000</v>
      </c>
      <c r="C15" s="9">
        <v>433000</v>
      </c>
      <c r="D15" s="9">
        <v>15000</v>
      </c>
      <c r="E15" s="9">
        <v>539000</v>
      </c>
      <c r="F15" s="9">
        <v>421000</v>
      </c>
      <c r="G15" s="13" t="s">
        <v>191</v>
      </c>
      <c r="H15" s="9">
        <v>2853000</v>
      </c>
      <c r="I15" s="9">
        <v>100000</v>
      </c>
      <c r="J15" s="9">
        <v>3988000</v>
      </c>
      <c r="K15" s="9">
        <v>392000</v>
      </c>
      <c r="L15" s="9">
        <v>4173000</v>
      </c>
      <c r="M15" s="9">
        <v>207000</v>
      </c>
    </row>
    <row r="16" spans="1:14" ht="12.45" customHeight="1">
      <c r="A16" s="12" t="s">
        <v>323</v>
      </c>
      <c r="B16" s="9">
        <v>763000</v>
      </c>
      <c r="C16" s="9">
        <v>77000</v>
      </c>
      <c r="D16" s="13" t="s">
        <v>191</v>
      </c>
      <c r="E16" s="9">
        <v>81000</v>
      </c>
      <c r="F16" s="9">
        <v>54000</v>
      </c>
      <c r="G16" s="9">
        <v>1000</v>
      </c>
      <c r="H16" s="9">
        <v>525000</v>
      </c>
      <c r="I16" s="9">
        <v>21000</v>
      </c>
      <c r="J16" s="9">
        <v>707000</v>
      </c>
      <c r="K16" s="9">
        <v>57000</v>
      </c>
      <c r="L16" s="9">
        <v>722000</v>
      </c>
      <c r="M16" s="9">
        <v>42000</v>
      </c>
    </row>
    <row r="17" spans="1:13" ht="12.45" customHeight="1">
      <c r="A17" s="12" t="s">
        <v>324</v>
      </c>
      <c r="B17" s="9">
        <v>1350000</v>
      </c>
      <c r="C17" s="9">
        <v>151000</v>
      </c>
      <c r="D17" s="9">
        <v>4000</v>
      </c>
      <c r="E17" s="9">
        <v>168000</v>
      </c>
      <c r="F17" s="9">
        <v>115000</v>
      </c>
      <c r="G17" s="9">
        <v>1000</v>
      </c>
      <c r="H17" s="9">
        <v>873000</v>
      </c>
      <c r="I17" s="9">
        <v>38000</v>
      </c>
      <c r="J17" s="9">
        <v>1255000</v>
      </c>
      <c r="K17" s="9">
        <v>95000</v>
      </c>
      <c r="L17" s="9">
        <v>1259000</v>
      </c>
      <c r="M17" s="9">
        <v>91000</v>
      </c>
    </row>
    <row r="18" spans="1:13" ht="12.45" customHeight="1">
      <c r="A18" s="12" t="s">
        <v>325</v>
      </c>
      <c r="B18" s="9">
        <v>1055000</v>
      </c>
      <c r="C18" s="9">
        <v>93000</v>
      </c>
      <c r="D18" s="13" t="s">
        <v>191</v>
      </c>
      <c r="E18" s="9">
        <v>161000</v>
      </c>
      <c r="F18" s="9">
        <v>106000</v>
      </c>
      <c r="G18" s="13" t="s">
        <v>191</v>
      </c>
      <c r="H18" s="9">
        <v>647000</v>
      </c>
      <c r="I18" s="9">
        <v>28000</v>
      </c>
      <c r="J18" s="9">
        <v>966000</v>
      </c>
      <c r="K18" s="9">
        <v>89000</v>
      </c>
      <c r="L18" s="9">
        <v>1000000</v>
      </c>
      <c r="M18" s="9">
        <v>55000</v>
      </c>
    </row>
    <row r="19" spans="1:13" ht="12.45" customHeight="1">
      <c r="A19" s="12" t="s">
        <v>326</v>
      </c>
      <c r="B19" s="9">
        <v>1211000</v>
      </c>
      <c r="C19" s="9">
        <v>113000</v>
      </c>
      <c r="D19" s="9">
        <v>2000</v>
      </c>
      <c r="E19" s="9">
        <v>129000</v>
      </c>
      <c r="F19" s="9">
        <v>146000</v>
      </c>
      <c r="G19" s="13" t="s">
        <v>220</v>
      </c>
      <c r="H19" s="9">
        <v>808000</v>
      </c>
      <c r="I19" s="9">
        <v>12000</v>
      </c>
      <c r="J19" s="9">
        <v>1060000</v>
      </c>
      <c r="K19" s="9">
        <v>151000</v>
      </c>
      <c r="L19" s="9">
        <v>1192000</v>
      </c>
      <c r="M19" s="9">
        <v>19000</v>
      </c>
    </row>
    <row r="20" spans="1:13" ht="12.45" customHeight="1">
      <c r="A20" s="10" t="s">
        <v>176</v>
      </c>
      <c r="B20" s="9">
        <v>15216000</v>
      </c>
      <c r="C20" s="9">
        <v>1835000</v>
      </c>
      <c r="D20" s="9">
        <v>44000</v>
      </c>
      <c r="E20" s="9">
        <v>1231000</v>
      </c>
      <c r="F20" s="9">
        <v>1583000</v>
      </c>
      <c r="G20" s="9">
        <v>40000</v>
      </c>
      <c r="H20" s="9">
        <v>10082000</v>
      </c>
      <c r="I20" s="9">
        <v>401000</v>
      </c>
      <c r="J20" s="9">
        <v>13435000</v>
      </c>
      <c r="K20" s="9">
        <v>1781000</v>
      </c>
      <c r="L20" s="9">
        <v>14725000</v>
      </c>
      <c r="M20" s="9">
        <v>491000</v>
      </c>
    </row>
    <row r="21" spans="1:13" ht="12.45" customHeight="1">
      <c r="A21" s="12" t="s">
        <v>323</v>
      </c>
      <c r="B21" s="9">
        <v>2408000</v>
      </c>
      <c r="C21" s="9">
        <v>371000</v>
      </c>
      <c r="D21" s="13" t="s">
        <v>191</v>
      </c>
      <c r="E21" s="9">
        <v>219000</v>
      </c>
      <c r="F21" s="9">
        <v>228000</v>
      </c>
      <c r="G21" s="13" t="s">
        <v>191</v>
      </c>
      <c r="H21" s="9">
        <v>1505000</v>
      </c>
      <c r="I21" s="9">
        <v>65000</v>
      </c>
      <c r="J21" s="9">
        <v>2109000</v>
      </c>
      <c r="K21" s="9">
        <v>299000</v>
      </c>
      <c r="L21" s="9">
        <v>2303000</v>
      </c>
      <c r="M21" s="9">
        <v>105000</v>
      </c>
    </row>
    <row r="22" spans="1:13" ht="12.45" customHeight="1">
      <c r="A22" s="12" t="s">
        <v>324</v>
      </c>
      <c r="B22" s="9">
        <v>4284000</v>
      </c>
      <c r="C22" s="9">
        <v>602000</v>
      </c>
      <c r="D22" s="13" t="s">
        <v>191</v>
      </c>
      <c r="E22" s="9">
        <v>417000</v>
      </c>
      <c r="F22" s="9">
        <v>379000</v>
      </c>
      <c r="G22" s="13" t="s">
        <v>191</v>
      </c>
      <c r="H22" s="9">
        <v>2755000</v>
      </c>
      <c r="I22" s="9">
        <v>109000</v>
      </c>
      <c r="J22" s="9">
        <v>3951000</v>
      </c>
      <c r="K22" s="9">
        <v>334000</v>
      </c>
      <c r="L22" s="9">
        <v>4093000</v>
      </c>
      <c r="M22" s="9">
        <v>192000</v>
      </c>
    </row>
    <row r="23" spans="1:13" ht="12.45" customHeight="1">
      <c r="A23" s="12" t="s">
        <v>325</v>
      </c>
      <c r="B23" s="9">
        <v>3888000</v>
      </c>
      <c r="C23" s="9">
        <v>471000</v>
      </c>
      <c r="D23" s="9">
        <v>5000</v>
      </c>
      <c r="E23" s="9">
        <v>321000</v>
      </c>
      <c r="F23" s="9">
        <v>479000</v>
      </c>
      <c r="G23" s="13" t="s">
        <v>191</v>
      </c>
      <c r="H23" s="9">
        <v>2466000</v>
      </c>
      <c r="I23" s="9">
        <v>135000</v>
      </c>
      <c r="J23" s="9">
        <v>3436000</v>
      </c>
      <c r="K23" s="9">
        <v>452000</v>
      </c>
      <c r="L23" s="9">
        <v>3769000</v>
      </c>
      <c r="M23" s="9">
        <v>118000</v>
      </c>
    </row>
    <row r="24" spans="1:13" ht="12.45" customHeight="1">
      <c r="A24" s="12" t="s">
        <v>326</v>
      </c>
      <c r="B24" s="9">
        <v>4637000</v>
      </c>
      <c r="C24" s="9">
        <v>391000</v>
      </c>
      <c r="D24" s="9">
        <v>16000</v>
      </c>
      <c r="E24" s="9">
        <v>274000</v>
      </c>
      <c r="F24" s="9">
        <v>497000</v>
      </c>
      <c r="G24" s="13" t="s">
        <v>191</v>
      </c>
      <c r="H24" s="9">
        <v>3356000</v>
      </c>
      <c r="I24" s="9">
        <v>91000</v>
      </c>
      <c r="J24" s="9">
        <v>3940000</v>
      </c>
      <c r="K24" s="9">
        <v>697000</v>
      </c>
      <c r="L24" s="9">
        <v>4559000</v>
      </c>
      <c r="M24" s="9">
        <v>77000</v>
      </c>
    </row>
    <row r="25" spans="1:13" ht="12.45" customHeight="1">
      <c r="A25" s="8" t="s">
        <v>336</v>
      </c>
      <c r="B25" s="9">
        <v>22559000</v>
      </c>
      <c r="C25" s="9">
        <v>2161000</v>
      </c>
      <c r="D25" s="9">
        <v>46000</v>
      </c>
      <c r="E25" s="9">
        <v>2539000</v>
      </c>
      <c r="F25" s="9">
        <v>1482000</v>
      </c>
      <c r="G25" s="9">
        <v>66000</v>
      </c>
      <c r="H25" s="9">
        <v>15721000</v>
      </c>
      <c r="I25" s="9">
        <v>545000</v>
      </c>
      <c r="J25" s="9">
        <v>19796000</v>
      </c>
      <c r="K25" s="9">
        <v>2764000</v>
      </c>
      <c r="L25" s="9">
        <v>21063000</v>
      </c>
      <c r="M25" s="9">
        <v>1496000</v>
      </c>
    </row>
    <row r="26" spans="1:13" ht="12.45" customHeight="1">
      <c r="A26" s="10" t="s">
        <v>323</v>
      </c>
      <c r="B26" s="9">
        <v>2971000</v>
      </c>
      <c r="C26" s="9">
        <v>336000</v>
      </c>
      <c r="D26" s="13" t="s">
        <v>191</v>
      </c>
      <c r="E26" s="9">
        <v>354000</v>
      </c>
      <c r="F26" s="9">
        <v>156000</v>
      </c>
      <c r="G26" s="9">
        <v>5000</v>
      </c>
      <c r="H26" s="9">
        <v>1983000</v>
      </c>
      <c r="I26" s="9">
        <v>130000</v>
      </c>
      <c r="J26" s="9">
        <v>2734000</v>
      </c>
      <c r="K26" s="9">
        <v>237000</v>
      </c>
      <c r="L26" s="9">
        <v>2777000</v>
      </c>
      <c r="M26" s="9">
        <v>195000</v>
      </c>
    </row>
    <row r="27" spans="1:13" ht="12.45" customHeight="1">
      <c r="A27" s="10" t="s">
        <v>324</v>
      </c>
      <c r="B27" s="9">
        <v>6282000</v>
      </c>
      <c r="C27" s="9">
        <v>688000</v>
      </c>
      <c r="D27" s="9">
        <v>10000</v>
      </c>
      <c r="E27" s="9">
        <v>804000</v>
      </c>
      <c r="F27" s="9">
        <v>400000</v>
      </c>
      <c r="G27" s="9">
        <v>13000</v>
      </c>
      <c r="H27" s="9">
        <v>4170000</v>
      </c>
      <c r="I27" s="9">
        <v>195000</v>
      </c>
      <c r="J27" s="9">
        <v>5766000</v>
      </c>
      <c r="K27" s="9">
        <v>516000</v>
      </c>
      <c r="L27" s="9">
        <v>5625000</v>
      </c>
      <c r="M27" s="9">
        <v>657000</v>
      </c>
    </row>
    <row r="28" spans="1:13" ht="12.45" customHeight="1">
      <c r="A28" s="10" t="s">
        <v>325</v>
      </c>
      <c r="B28" s="9">
        <v>5373000</v>
      </c>
      <c r="C28" s="9">
        <v>570000</v>
      </c>
      <c r="D28" s="9">
        <v>5000</v>
      </c>
      <c r="E28" s="9">
        <v>664000</v>
      </c>
      <c r="F28" s="9">
        <v>355000</v>
      </c>
      <c r="G28" s="9">
        <v>28000</v>
      </c>
      <c r="H28" s="9">
        <v>3650000</v>
      </c>
      <c r="I28" s="9">
        <v>100000</v>
      </c>
      <c r="J28" s="9">
        <v>4773000</v>
      </c>
      <c r="K28" s="9">
        <v>600000</v>
      </c>
      <c r="L28" s="9">
        <v>4933000</v>
      </c>
      <c r="M28" s="9">
        <v>440000</v>
      </c>
    </row>
    <row r="29" spans="1:13" ht="12.45" customHeight="1">
      <c r="A29" s="10" t="s">
        <v>326</v>
      </c>
      <c r="B29" s="9">
        <v>7933000</v>
      </c>
      <c r="C29" s="9">
        <v>567000</v>
      </c>
      <c r="D29" s="9">
        <v>23000</v>
      </c>
      <c r="E29" s="9">
        <v>718000</v>
      </c>
      <c r="F29" s="9">
        <v>570000</v>
      </c>
      <c r="G29" s="9">
        <v>20000</v>
      </c>
      <c r="H29" s="9">
        <v>5917000</v>
      </c>
      <c r="I29" s="9">
        <v>119000</v>
      </c>
      <c r="J29" s="9">
        <v>6523000</v>
      </c>
      <c r="K29" s="9">
        <v>1410000</v>
      </c>
      <c r="L29" s="9">
        <v>7728000</v>
      </c>
      <c r="M29" s="9">
        <v>205000</v>
      </c>
    </row>
    <row r="30" spans="1:13" ht="12.45" customHeight="1">
      <c r="A30" s="10" t="s">
        <v>174</v>
      </c>
      <c r="B30" s="9">
        <v>5232000</v>
      </c>
      <c r="C30" s="9">
        <v>457000</v>
      </c>
      <c r="D30" s="9">
        <v>7000</v>
      </c>
      <c r="E30" s="9">
        <v>1074000</v>
      </c>
      <c r="F30" s="9">
        <v>237000</v>
      </c>
      <c r="G30" s="9">
        <v>11000</v>
      </c>
      <c r="H30" s="9">
        <v>3328000</v>
      </c>
      <c r="I30" s="9">
        <v>119000</v>
      </c>
      <c r="J30" s="9">
        <v>4655000</v>
      </c>
      <c r="K30" s="9">
        <v>577000</v>
      </c>
      <c r="L30" s="9">
        <v>4521000</v>
      </c>
      <c r="M30" s="9">
        <v>711000</v>
      </c>
    </row>
    <row r="31" spans="1:13" ht="12.45" customHeight="1">
      <c r="A31" s="12" t="s">
        <v>323</v>
      </c>
      <c r="B31" s="9">
        <v>986000</v>
      </c>
      <c r="C31" s="9">
        <v>107000</v>
      </c>
      <c r="D31" s="13" t="s">
        <v>191</v>
      </c>
      <c r="E31" s="9">
        <v>184000</v>
      </c>
      <c r="F31" s="9">
        <v>40000</v>
      </c>
      <c r="G31" s="13" t="s">
        <v>191</v>
      </c>
      <c r="H31" s="9">
        <v>613000</v>
      </c>
      <c r="I31" s="9">
        <v>36000</v>
      </c>
      <c r="J31" s="9">
        <v>920000</v>
      </c>
      <c r="K31" s="9">
        <v>65000</v>
      </c>
      <c r="L31" s="9">
        <v>864000</v>
      </c>
      <c r="M31" s="9">
        <v>122000</v>
      </c>
    </row>
    <row r="32" spans="1:13" ht="12.45" customHeight="1">
      <c r="A32" s="12" t="s">
        <v>324</v>
      </c>
      <c r="B32" s="9">
        <v>1702000</v>
      </c>
      <c r="C32" s="9">
        <v>173000</v>
      </c>
      <c r="D32" s="9">
        <v>2000</v>
      </c>
      <c r="E32" s="9">
        <v>400000</v>
      </c>
      <c r="F32" s="9">
        <v>86000</v>
      </c>
      <c r="G32" s="9">
        <v>5000</v>
      </c>
      <c r="H32" s="9">
        <v>1003000</v>
      </c>
      <c r="I32" s="9">
        <v>33000</v>
      </c>
      <c r="J32" s="9">
        <v>1534000</v>
      </c>
      <c r="K32" s="9">
        <v>167000</v>
      </c>
      <c r="L32" s="9">
        <v>1328000</v>
      </c>
      <c r="M32" s="9">
        <v>374000</v>
      </c>
    </row>
    <row r="33" spans="1:13" ht="12.45" customHeight="1">
      <c r="A33" s="12" t="s">
        <v>325</v>
      </c>
      <c r="B33" s="9">
        <v>1125000</v>
      </c>
      <c r="C33" s="9">
        <v>90000</v>
      </c>
      <c r="D33" s="13" t="s">
        <v>191</v>
      </c>
      <c r="E33" s="9">
        <v>280000</v>
      </c>
      <c r="F33" s="9">
        <v>53000</v>
      </c>
      <c r="G33" s="9">
        <v>2000</v>
      </c>
      <c r="H33" s="9">
        <v>672000</v>
      </c>
      <c r="I33" s="9">
        <v>25000</v>
      </c>
      <c r="J33" s="9">
        <v>1010000</v>
      </c>
      <c r="K33" s="9">
        <v>115000</v>
      </c>
      <c r="L33" s="9">
        <v>961000</v>
      </c>
      <c r="M33" s="9">
        <v>163000</v>
      </c>
    </row>
    <row r="34" spans="1:13" ht="12.45" customHeight="1">
      <c r="A34" s="12" t="s">
        <v>326</v>
      </c>
      <c r="B34" s="9">
        <v>1420000</v>
      </c>
      <c r="C34" s="9">
        <v>86000</v>
      </c>
      <c r="D34" s="9">
        <v>1000</v>
      </c>
      <c r="E34" s="9">
        <v>209000</v>
      </c>
      <c r="F34" s="9">
        <v>57000</v>
      </c>
      <c r="G34" s="9">
        <v>1000</v>
      </c>
      <c r="H34" s="9">
        <v>1040000</v>
      </c>
      <c r="I34" s="9">
        <v>25000</v>
      </c>
      <c r="J34" s="9">
        <v>1190000</v>
      </c>
      <c r="K34" s="9">
        <v>230000</v>
      </c>
      <c r="L34" s="9">
        <v>1369000</v>
      </c>
      <c r="M34" s="9">
        <v>51000</v>
      </c>
    </row>
    <row r="35" spans="1:13" ht="12.45" customHeight="1">
      <c r="A35" s="12" t="s">
        <v>227</v>
      </c>
      <c r="B35" s="9">
        <v>385000</v>
      </c>
      <c r="C35" s="9">
        <v>31000</v>
      </c>
      <c r="D35" s="13" t="s">
        <v>220</v>
      </c>
      <c r="E35" s="9">
        <v>83000</v>
      </c>
      <c r="F35" s="9">
        <v>11000</v>
      </c>
      <c r="G35" s="13" t="s">
        <v>220</v>
      </c>
      <c r="H35" s="9">
        <v>249000</v>
      </c>
      <c r="I35" s="13" t="s">
        <v>191</v>
      </c>
      <c r="J35" s="9">
        <v>341000</v>
      </c>
      <c r="K35" s="9">
        <v>44000</v>
      </c>
      <c r="L35" s="9">
        <v>324000</v>
      </c>
      <c r="M35" s="9">
        <v>61000</v>
      </c>
    </row>
    <row r="36" spans="1:13" ht="12.45" customHeight="1">
      <c r="A36" s="15" t="s">
        <v>323</v>
      </c>
      <c r="B36" s="9">
        <v>76000</v>
      </c>
      <c r="C36" s="9">
        <v>7000</v>
      </c>
      <c r="D36" s="13" t="s">
        <v>220</v>
      </c>
      <c r="E36" s="9">
        <v>10000</v>
      </c>
      <c r="F36" s="13" t="s">
        <v>191</v>
      </c>
      <c r="G36" s="13" t="s">
        <v>220</v>
      </c>
      <c r="H36" s="9">
        <v>49000</v>
      </c>
      <c r="I36" s="13" t="s">
        <v>191</v>
      </c>
      <c r="J36" s="9">
        <v>69000</v>
      </c>
      <c r="K36" s="9">
        <v>7000</v>
      </c>
      <c r="L36" s="9">
        <v>69000</v>
      </c>
      <c r="M36" s="9">
        <v>7000</v>
      </c>
    </row>
    <row r="37" spans="1:13" ht="12.45" customHeight="1">
      <c r="A37" s="15" t="s">
        <v>324</v>
      </c>
      <c r="B37" s="9">
        <v>130000</v>
      </c>
      <c r="C37" s="9">
        <v>13000</v>
      </c>
      <c r="D37" s="13" t="s">
        <v>220</v>
      </c>
      <c r="E37" s="9">
        <v>33000</v>
      </c>
      <c r="F37" s="9">
        <v>5000</v>
      </c>
      <c r="G37" s="13" t="s">
        <v>220</v>
      </c>
      <c r="H37" s="9">
        <v>79000</v>
      </c>
      <c r="I37" s="9">
        <v>1000</v>
      </c>
      <c r="J37" s="9">
        <v>115000</v>
      </c>
      <c r="K37" s="9">
        <v>15000</v>
      </c>
      <c r="L37" s="9">
        <v>94000</v>
      </c>
      <c r="M37" s="9">
        <v>36000</v>
      </c>
    </row>
    <row r="38" spans="1:13" ht="12.45" customHeight="1">
      <c r="A38" s="15" t="s">
        <v>325</v>
      </c>
      <c r="B38" s="9">
        <v>79000</v>
      </c>
      <c r="C38" s="9">
        <v>4000</v>
      </c>
      <c r="D38" s="13" t="s">
        <v>220</v>
      </c>
      <c r="E38" s="9">
        <v>19000</v>
      </c>
      <c r="F38" s="9">
        <v>1000</v>
      </c>
      <c r="G38" s="13" t="s">
        <v>220</v>
      </c>
      <c r="H38" s="9">
        <v>54000</v>
      </c>
      <c r="I38" s="13" t="s">
        <v>220</v>
      </c>
      <c r="J38" s="9">
        <v>74000</v>
      </c>
      <c r="K38" s="9">
        <v>5000</v>
      </c>
      <c r="L38" s="9">
        <v>66000</v>
      </c>
      <c r="M38" s="9">
        <v>13000</v>
      </c>
    </row>
    <row r="39" spans="1:13" ht="12.45" customHeight="1">
      <c r="A39" s="15" t="s">
        <v>326</v>
      </c>
      <c r="B39" s="9">
        <v>100000</v>
      </c>
      <c r="C39" s="9">
        <v>7000</v>
      </c>
      <c r="D39" s="13" t="s">
        <v>220</v>
      </c>
      <c r="E39" s="9">
        <v>21000</v>
      </c>
      <c r="F39" s="9">
        <v>3000</v>
      </c>
      <c r="G39" s="13" t="s">
        <v>220</v>
      </c>
      <c r="H39" s="9">
        <v>68000</v>
      </c>
      <c r="I39" s="9">
        <v>1000</v>
      </c>
      <c r="J39" s="9">
        <v>84000</v>
      </c>
      <c r="K39" s="9">
        <v>16000</v>
      </c>
      <c r="L39" s="9">
        <v>95000</v>
      </c>
      <c r="M39" s="9">
        <v>5000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249977111117893"/>
  </sheetPr>
  <dimension ref="A1:N37"/>
  <sheetViews>
    <sheetView topLeftCell="A12" workbookViewId="0">
      <selection sqref="A1:M1"/>
    </sheetView>
  </sheetViews>
  <sheetFormatPr defaultRowHeight="13.2"/>
  <cols>
    <col min="1" max="1" width="56.109375" customWidth="1"/>
    <col min="2" max="2" width="13.44140625" customWidth="1"/>
    <col min="3" max="3" width="20.6640625" customWidth="1"/>
    <col min="4" max="4" width="36.6640625" customWidth="1"/>
    <col min="5" max="5" width="12.109375" customWidth="1"/>
    <col min="6" max="6" width="29.109375" customWidth="1"/>
    <col min="7" max="7" width="45.109375" customWidth="1"/>
    <col min="8" max="8" width="13.44140625" customWidth="1"/>
    <col min="9" max="9" width="21.77734375" customWidth="1"/>
    <col min="10" max="10" width="20" customWidth="1"/>
    <col min="11" max="11" width="16.109375" customWidth="1"/>
    <col min="12" max="12" width="13.44140625" customWidth="1"/>
    <col min="13" max="13" width="18.6640625" customWidth="1"/>
    <col min="14" max="14" width="2.44140625" customWidth="1"/>
  </cols>
  <sheetData>
    <row r="1" spans="1:14" ht="42.75" customHeight="1">
      <c r="A1" s="321" t="s">
        <v>330</v>
      </c>
      <c r="B1" s="321"/>
      <c r="C1" s="321"/>
      <c r="D1" s="321"/>
      <c r="E1" s="321"/>
      <c r="F1" s="321"/>
      <c r="G1" s="321"/>
      <c r="H1" s="321"/>
      <c r="I1" s="321"/>
      <c r="J1" s="321"/>
      <c r="K1" s="321"/>
      <c r="L1" s="321"/>
      <c r="M1" s="321"/>
      <c r="N1" s="321"/>
    </row>
    <row r="2" spans="1:14" ht="13.95" customHeight="1">
      <c r="A2" s="339" t="s">
        <v>331</v>
      </c>
      <c r="B2" s="345" t="s">
        <v>167</v>
      </c>
      <c r="C2" s="349" t="s">
        <v>265</v>
      </c>
      <c r="D2" s="330" t="s">
        <v>266</v>
      </c>
      <c r="E2" s="331"/>
      <c r="F2" s="331"/>
      <c r="G2" s="331"/>
      <c r="H2" s="331"/>
      <c r="I2" s="332"/>
      <c r="J2" s="349" t="s">
        <v>267</v>
      </c>
      <c r="K2" s="349" t="s">
        <v>268</v>
      </c>
      <c r="L2" s="349" t="s">
        <v>332</v>
      </c>
      <c r="M2" s="349" t="s">
        <v>333</v>
      </c>
    </row>
    <row r="3" spans="1:14" ht="13.95" customHeight="1">
      <c r="A3" s="341"/>
      <c r="B3" s="346"/>
      <c r="C3" s="350"/>
      <c r="D3" s="41" t="s">
        <v>270</v>
      </c>
      <c r="E3" s="41" t="s">
        <v>271</v>
      </c>
      <c r="F3" s="41" t="s">
        <v>272</v>
      </c>
      <c r="G3" s="41" t="s">
        <v>273</v>
      </c>
      <c r="H3" s="41" t="s">
        <v>274</v>
      </c>
      <c r="I3" s="5" t="s">
        <v>275</v>
      </c>
      <c r="J3" s="350"/>
      <c r="K3" s="350"/>
      <c r="L3" s="350"/>
      <c r="M3" s="350"/>
    </row>
    <row r="4" spans="1:14" ht="12.45" customHeight="1">
      <c r="A4" s="18" t="s">
        <v>228</v>
      </c>
      <c r="B4" s="7">
        <v>2850000</v>
      </c>
      <c r="C4" s="7">
        <v>243000</v>
      </c>
      <c r="D4" s="19" t="s">
        <v>191</v>
      </c>
      <c r="E4" s="7">
        <v>708000</v>
      </c>
      <c r="F4" s="7">
        <v>154000</v>
      </c>
      <c r="G4" s="7">
        <v>5000</v>
      </c>
      <c r="H4" s="7">
        <v>1662000</v>
      </c>
      <c r="I4" s="7">
        <v>74000</v>
      </c>
      <c r="J4" s="7">
        <v>2507000</v>
      </c>
      <c r="K4" s="7">
        <v>343000</v>
      </c>
      <c r="L4" s="7">
        <v>2384000</v>
      </c>
      <c r="M4" s="7">
        <v>466000</v>
      </c>
    </row>
    <row r="5" spans="1:14" ht="12.45" customHeight="1">
      <c r="A5" s="15" t="s">
        <v>323</v>
      </c>
      <c r="B5" s="9">
        <v>518000</v>
      </c>
      <c r="C5" s="9">
        <v>57000</v>
      </c>
      <c r="D5" s="13" t="s">
        <v>220</v>
      </c>
      <c r="E5" s="9">
        <v>112000</v>
      </c>
      <c r="F5" s="9">
        <v>22000</v>
      </c>
      <c r="G5" s="13" t="s">
        <v>220</v>
      </c>
      <c r="H5" s="9">
        <v>306000</v>
      </c>
      <c r="I5" s="9">
        <v>18000</v>
      </c>
      <c r="J5" s="9">
        <v>486000</v>
      </c>
      <c r="K5" s="9">
        <v>32000</v>
      </c>
      <c r="L5" s="9">
        <v>442000</v>
      </c>
      <c r="M5" s="9">
        <v>76000</v>
      </c>
    </row>
    <row r="6" spans="1:14" ht="12.45" customHeight="1">
      <c r="A6" s="15" t="s">
        <v>324</v>
      </c>
      <c r="B6" s="9">
        <v>980000</v>
      </c>
      <c r="C6" s="9">
        <v>105000</v>
      </c>
      <c r="D6" s="13" t="s">
        <v>220</v>
      </c>
      <c r="E6" s="9">
        <v>273000</v>
      </c>
      <c r="F6" s="9">
        <v>57000</v>
      </c>
      <c r="G6" s="13" t="s">
        <v>191</v>
      </c>
      <c r="H6" s="9">
        <v>521000</v>
      </c>
      <c r="I6" s="9">
        <v>21000</v>
      </c>
      <c r="J6" s="9">
        <v>864000</v>
      </c>
      <c r="K6" s="9">
        <v>116000</v>
      </c>
      <c r="L6" s="9">
        <v>724000</v>
      </c>
      <c r="M6" s="9">
        <v>256000</v>
      </c>
    </row>
    <row r="7" spans="1:14" ht="12.45" customHeight="1">
      <c r="A7" s="15" t="s">
        <v>325</v>
      </c>
      <c r="B7" s="9">
        <v>644000</v>
      </c>
      <c r="C7" s="9">
        <v>43000</v>
      </c>
      <c r="D7" s="13" t="s">
        <v>220</v>
      </c>
      <c r="E7" s="9">
        <v>203000</v>
      </c>
      <c r="F7" s="9">
        <v>37000</v>
      </c>
      <c r="G7" s="13" t="s">
        <v>220</v>
      </c>
      <c r="H7" s="9">
        <v>341000</v>
      </c>
      <c r="I7" s="9">
        <v>19000</v>
      </c>
      <c r="J7" s="9">
        <v>575000</v>
      </c>
      <c r="K7" s="9">
        <v>69000</v>
      </c>
      <c r="L7" s="9">
        <v>534000</v>
      </c>
      <c r="M7" s="9">
        <v>110000</v>
      </c>
    </row>
    <row r="8" spans="1:14" ht="12.45" customHeight="1">
      <c r="A8" s="15" t="s">
        <v>326</v>
      </c>
      <c r="B8" s="9">
        <v>707000</v>
      </c>
      <c r="C8" s="9">
        <v>38000</v>
      </c>
      <c r="D8" s="13" t="s">
        <v>220</v>
      </c>
      <c r="E8" s="9">
        <v>120000</v>
      </c>
      <c r="F8" s="9">
        <v>37000</v>
      </c>
      <c r="G8" s="13" t="s">
        <v>191</v>
      </c>
      <c r="H8" s="9">
        <v>494000</v>
      </c>
      <c r="I8" s="9">
        <v>17000</v>
      </c>
      <c r="J8" s="9">
        <v>581000</v>
      </c>
      <c r="K8" s="9">
        <v>126000</v>
      </c>
      <c r="L8" s="9">
        <v>684000</v>
      </c>
      <c r="M8" s="9">
        <v>23000</v>
      </c>
    </row>
    <row r="9" spans="1:14" ht="12.45" customHeight="1">
      <c r="A9" s="12" t="s">
        <v>229</v>
      </c>
      <c r="B9" s="9">
        <v>245000</v>
      </c>
      <c r="C9" s="9">
        <v>19000</v>
      </c>
      <c r="D9" s="13" t="s">
        <v>222</v>
      </c>
      <c r="E9" s="9">
        <v>36000</v>
      </c>
      <c r="F9" s="9">
        <v>10000</v>
      </c>
      <c r="G9" s="13" t="s">
        <v>191</v>
      </c>
      <c r="H9" s="9">
        <v>175000</v>
      </c>
      <c r="I9" s="9">
        <v>4000</v>
      </c>
      <c r="J9" s="9">
        <v>217000</v>
      </c>
      <c r="K9" s="9">
        <v>28000</v>
      </c>
      <c r="L9" s="9">
        <v>215000</v>
      </c>
      <c r="M9" s="9">
        <v>31000</v>
      </c>
    </row>
    <row r="10" spans="1:14" ht="12.45" customHeight="1">
      <c r="A10" s="15" t="s">
        <v>323</v>
      </c>
      <c r="B10" s="9">
        <v>42000</v>
      </c>
      <c r="C10" s="9">
        <v>4000</v>
      </c>
      <c r="D10" s="13" t="s">
        <v>220</v>
      </c>
      <c r="E10" s="9">
        <v>12000</v>
      </c>
      <c r="F10" s="9">
        <v>1000</v>
      </c>
      <c r="G10" s="13" t="s">
        <v>220</v>
      </c>
      <c r="H10" s="9">
        <v>23000</v>
      </c>
      <c r="I10" s="9">
        <v>1000</v>
      </c>
      <c r="J10" s="9">
        <v>39000</v>
      </c>
      <c r="K10" s="13" t="s">
        <v>191</v>
      </c>
      <c r="L10" s="9">
        <v>33000</v>
      </c>
      <c r="M10" s="9">
        <v>10000</v>
      </c>
    </row>
    <row r="11" spans="1:14" ht="12.45" customHeight="1">
      <c r="A11" s="15" t="s">
        <v>324</v>
      </c>
      <c r="B11" s="9">
        <v>68000</v>
      </c>
      <c r="C11" s="9">
        <v>3000</v>
      </c>
      <c r="D11" s="13" t="s">
        <v>220</v>
      </c>
      <c r="E11" s="9">
        <v>11000</v>
      </c>
      <c r="F11" s="13" t="s">
        <v>191</v>
      </c>
      <c r="G11" s="13" t="s">
        <v>220</v>
      </c>
      <c r="H11" s="9">
        <v>48000</v>
      </c>
      <c r="I11" s="9">
        <v>1000</v>
      </c>
      <c r="J11" s="9">
        <v>63000</v>
      </c>
      <c r="K11" s="9">
        <v>5000</v>
      </c>
      <c r="L11" s="9">
        <v>55000</v>
      </c>
      <c r="M11" s="9">
        <v>13000</v>
      </c>
    </row>
    <row r="12" spans="1:14" ht="12.45" customHeight="1">
      <c r="A12" s="15" t="s">
        <v>325</v>
      </c>
      <c r="B12" s="9">
        <v>53000</v>
      </c>
      <c r="C12" s="9">
        <v>9000</v>
      </c>
      <c r="D12" s="13" t="s">
        <v>220</v>
      </c>
      <c r="E12" s="9">
        <v>6000</v>
      </c>
      <c r="F12" s="13" t="s">
        <v>191</v>
      </c>
      <c r="G12" s="13" t="s">
        <v>220</v>
      </c>
      <c r="H12" s="9">
        <v>37000</v>
      </c>
      <c r="I12" s="9">
        <v>1000</v>
      </c>
      <c r="J12" s="9">
        <v>46000</v>
      </c>
      <c r="K12" s="9">
        <v>8000</v>
      </c>
      <c r="L12" s="9">
        <v>48000</v>
      </c>
      <c r="M12" s="9">
        <v>5000</v>
      </c>
    </row>
    <row r="13" spans="1:14" ht="12.45" customHeight="1">
      <c r="A13" s="15" t="s">
        <v>326</v>
      </c>
      <c r="B13" s="9">
        <v>82000</v>
      </c>
      <c r="C13" s="9">
        <v>3000</v>
      </c>
      <c r="D13" s="13" t="s">
        <v>220</v>
      </c>
      <c r="E13" s="9">
        <v>7000</v>
      </c>
      <c r="F13" s="9">
        <v>2000</v>
      </c>
      <c r="G13" s="13" t="s">
        <v>220</v>
      </c>
      <c r="H13" s="9">
        <v>68000</v>
      </c>
      <c r="I13" s="13" t="s">
        <v>222</v>
      </c>
      <c r="J13" s="9">
        <v>69000</v>
      </c>
      <c r="K13" s="9">
        <v>12000</v>
      </c>
      <c r="L13" s="9">
        <v>78000</v>
      </c>
      <c r="M13" s="9">
        <v>3000</v>
      </c>
    </row>
    <row r="14" spans="1:14" ht="12.45" customHeight="1">
      <c r="A14" s="12" t="s">
        <v>230</v>
      </c>
      <c r="B14" s="9">
        <v>204000</v>
      </c>
      <c r="C14" s="9">
        <v>21000</v>
      </c>
      <c r="D14" s="13" t="s">
        <v>220</v>
      </c>
      <c r="E14" s="9">
        <v>15000</v>
      </c>
      <c r="F14" s="9">
        <v>9000</v>
      </c>
      <c r="G14" s="13" t="s">
        <v>220</v>
      </c>
      <c r="H14" s="9">
        <v>156000</v>
      </c>
      <c r="I14" s="9">
        <v>2000</v>
      </c>
      <c r="J14" s="9">
        <v>181000</v>
      </c>
      <c r="K14" s="9">
        <v>23000</v>
      </c>
      <c r="L14" s="9">
        <v>186000</v>
      </c>
      <c r="M14" s="9">
        <v>18000</v>
      </c>
    </row>
    <row r="15" spans="1:14" ht="12.45" customHeight="1">
      <c r="A15" s="15" t="s">
        <v>323</v>
      </c>
      <c r="B15" s="9">
        <v>26000</v>
      </c>
      <c r="C15" s="9">
        <v>3000</v>
      </c>
      <c r="D15" s="13" t="s">
        <v>220</v>
      </c>
      <c r="E15" s="9">
        <v>2000</v>
      </c>
      <c r="F15" s="13" t="s">
        <v>191</v>
      </c>
      <c r="G15" s="13" t="s">
        <v>220</v>
      </c>
      <c r="H15" s="9">
        <v>19000</v>
      </c>
      <c r="I15" s="13" t="s">
        <v>191</v>
      </c>
      <c r="J15" s="9">
        <v>23000</v>
      </c>
      <c r="K15" s="13" t="s">
        <v>191</v>
      </c>
      <c r="L15" s="9">
        <v>25000</v>
      </c>
      <c r="M15" s="9">
        <v>2000</v>
      </c>
    </row>
    <row r="16" spans="1:14" ht="12.45" customHeight="1">
      <c r="A16" s="15" t="s">
        <v>324</v>
      </c>
      <c r="B16" s="9">
        <v>66000</v>
      </c>
      <c r="C16" s="9">
        <v>9000</v>
      </c>
      <c r="D16" s="13" t="s">
        <v>220</v>
      </c>
      <c r="E16" s="9">
        <v>7000</v>
      </c>
      <c r="F16" s="9">
        <v>4000</v>
      </c>
      <c r="G16" s="13" t="s">
        <v>220</v>
      </c>
      <c r="H16" s="9">
        <v>45000</v>
      </c>
      <c r="I16" s="13" t="s">
        <v>191</v>
      </c>
      <c r="J16" s="9">
        <v>62000</v>
      </c>
      <c r="K16" s="9">
        <v>5000</v>
      </c>
      <c r="L16" s="9">
        <v>58000</v>
      </c>
      <c r="M16" s="9">
        <v>8000</v>
      </c>
    </row>
    <row r="17" spans="1:13" ht="12.45" customHeight="1">
      <c r="A17" s="15" t="s">
        <v>325</v>
      </c>
      <c r="B17" s="9">
        <v>37000</v>
      </c>
      <c r="C17" s="9">
        <v>5000</v>
      </c>
      <c r="D17" s="13" t="s">
        <v>220</v>
      </c>
      <c r="E17" s="9">
        <v>2000</v>
      </c>
      <c r="F17" s="13" t="s">
        <v>191</v>
      </c>
      <c r="G17" s="13" t="s">
        <v>220</v>
      </c>
      <c r="H17" s="9">
        <v>29000</v>
      </c>
      <c r="I17" s="13" t="s">
        <v>222</v>
      </c>
      <c r="J17" s="9">
        <v>34000</v>
      </c>
      <c r="K17" s="13" t="s">
        <v>191</v>
      </c>
      <c r="L17" s="9">
        <v>33000</v>
      </c>
      <c r="M17" s="13" t="s">
        <v>191</v>
      </c>
    </row>
    <row r="18" spans="1:13" ht="12.45" customHeight="1">
      <c r="A18" s="15" t="s">
        <v>326</v>
      </c>
      <c r="B18" s="9">
        <v>74000</v>
      </c>
      <c r="C18" s="9">
        <v>4000</v>
      </c>
      <c r="D18" s="13" t="s">
        <v>220</v>
      </c>
      <c r="E18" s="9">
        <v>3000</v>
      </c>
      <c r="F18" s="9">
        <v>3000</v>
      </c>
      <c r="G18" s="13" t="s">
        <v>220</v>
      </c>
      <c r="H18" s="9">
        <v>63000</v>
      </c>
      <c r="I18" s="9">
        <v>1000</v>
      </c>
      <c r="J18" s="9">
        <v>62000</v>
      </c>
      <c r="K18" s="9">
        <v>12000</v>
      </c>
      <c r="L18" s="9">
        <v>71000</v>
      </c>
      <c r="M18" s="9">
        <v>3000</v>
      </c>
    </row>
    <row r="19" spans="1:13" ht="12.45" customHeight="1">
      <c r="A19" s="12" t="s">
        <v>231</v>
      </c>
      <c r="B19" s="9">
        <v>1548000</v>
      </c>
      <c r="C19" s="9">
        <v>142000</v>
      </c>
      <c r="D19" s="9">
        <v>2000</v>
      </c>
      <c r="E19" s="9">
        <v>233000</v>
      </c>
      <c r="F19" s="9">
        <v>53000</v>
      </c>
      <c r="G19" s="9">
        <v>5000</v>
      </c>
      <c r="H19" s="9">
        <v>1087000</v>
      </c>
      <c r="I19" s="9">
        <v>27000</v>
      </c>
      <c r="J19" s="9">
        <v>1409000</v>
      </c>
      <c r="K19" s="9">
        <v>139000</v>
      </c>
      <c r="L19" s="9">
        <v>1413000</v>
      </c>
      <c r="M19" s="9">
        <v>135000</v>
      </c>
    </row>
    <row r="20" spans="1:13" ht="12.45" customHeight="1">
      <c r="A20" s="15" t="s">
        <v>323</v>
      </c>
      <c r="B20" s="9">
        <v>323000</v>
      </c>
      <c r="C20" s="9">
        <v>36000</v>
      </c>
      <c r="D20" s="13" t="s">
        <v>220</v>
      </c>
      <c r="E20" s="9">
        <v>48000</v>
      </c>
      <c r="F20" s="9">
        <v>13000</v>
      </c>
      <c r="G20" s="13" t="s">
        <v>220</v>
      </c>
      <c r="H20" s="9">
        <v>217000</v>
      </c>
      <c r="I20" s="9">
        <v>8000</v>
      </c>
      <c r="J20" s="9">
        <v>303000</v>
      </c>
      <c r="K20" s="9">
        <v>20000</v>
      </c>
      <c r="L20" s="9">
        <v>295000</v>
      </c>
      <c r="M20" s="9">
        <v>28000</v>
      </c>
    </row>
    <row r="21" spans="1:13" ht="12.45" customHeight="1">
      <c r="A21" s="15" t="s">
        <v>324</v>
      </c>
      <c r="B21" s="9">
        <v>457000</v>
      </c>
      <c r="C21" s="9">
        <v>43000</v>
      </c>
      <c r="D21" s="13" t="s">
        <v>191</v>
      </c>
      <c r="E21" s="9">
        <v>76000</v>
      </c>
      <c r="F21" s="9">
        <v>15000</v>
      </c>
      <c r="G21" s="9">
        <v>2000</v>
      </c>
      <c r="H21" s="9">
        <v>311000</v>
      </c>
      <c r="I21" s="9">
        <v>9000</v>
      </c>
      <c r="J21" s="9">
        <v>431000</v>
      </c>
      <c r="K21" s="9">
        <v>26000</v>
      </c>
      <c r="L21" s="9">
        <v>397000</v>
      </c>
      <c r="M21" s="9">
        <v>60000</v>
      </c>
    </row>
    <row r="22" spans="1:13" ht="12.45" customHeight="1">
      <c r="A22" s="15" t="s">
        <v>325</v>
      </c>
      <c r="B22" s="9">
        <v>311000</v>
      </c>
      <c r="C22" s="9">
        <v>29000</v>
      </c>
      <c r="D22" s="13" t="s">
        <v>220</v>
      </c>
      <c r="E22" s="9">
        <v>50000</v>
      </c>
      <c r="F22" s="9">
        <v>13000</v>
      </c>
      <c r="G22" s="13" t="s">
        <v>191</v>
      </c>
      <c r="H22" s="9">
        <v>212000</v>
      </c>
      <c r="I22" s="9">
        <v>5000</v>
      </c>
      <c r="J22" s="9">
        <v>282000</v>
      </c>
      <c r="K22" s="9">
        <v>29000</v>
      </c>
      <c r="L22" s="9">
        <v>281000</v>
      </c>
      <c r="M22" s="9">
        <v>30000</v>
      </c>
    </row>
    <row r="23" spans="1:13" ht="12.45" customHeight="1">
      <c r="A23" s="15" t="s">
        <v>326</v>
      </c>
      <c r="B23" s="9">
        <v>458000</v>
      </c>
      <c r="C23" s="9">
        <v>33000</v>
      </c>
      <c r="D23" s="13" t="s">
        <v>222</v>
      </c>
      <c r="E23" s="9">
        <v>58000</v>
      </c>
      <c r="F23" s="9">
        <v>12000</v>
      </c>
      <c r="G23" s="13" t="s">
        <v>220</v>
      </c>
      <c r="H23" s="9">
        <v>348000</v>
      </c>
      <c r="I23" s="9">
        <v>6000</v>
      </c>
      <c r="J23" s="9">
        <v>394000</v>
      </c>
      <c r="K23" s="9">
        <v>64000</v>
      </c>
      <c r="L23" s="9">
        <v>441000</v>
      </c>
      <c r="M23" s="9">
        <v>17000</v>
      </c>
    </row>
    <row r="24" spans="1:13" ht="12.45" customHeight="1">
      <c r="A24" s="10" t="s">
        <v>175</v>
      </c>
      <c r="B24" s="9">
        <v>3595000</v>
      </c>
      <c r="C24" s="9">
        <v>279000</v>
      </c>
      <c r="D24" s="9">
        <v>5000</v>
      </c>
      <c r="E24" s="9">
        <v>546000</v>
      </c>
      <c r="F24" s="9">
        <v>237000</v>
      </c>
      <c r="G24" s="9">
        <v>18000</v>
      </c>
      <c r="H24" s="9">
        <v>2458000</v>
      </c>
      <c r="I24" s="9">
        <v>53000</v>
      </c>
      <c r="J24" s="9">
        <v>3191000</v>
      </c>
      <c r="K24" s="9">
        <v>404000</v>
      </c>
      <c r="L24" s="9">
        <v>3346000</v>
      </c>
      <c r="M24" s="9">
        <v>249000</v>
      </c>
    </row>
    <row r="25" spans="1:13" ht="12.45" customHeight="1">
      <c r="A25" s="12" t="s">
        <v>323</v>
      </c>
      <c r="B25" s="9">
        <v>426000</v>
      </c>
      <c r="C25" s="9">
        <v>45000</v>
      </c>
      <c r="D25" s="13" t="s">
        <v>220</v>
      </c>
      <c r="E25" s="9">
        <v>64000</v>
      </c>
      <c r="F25" s="9">
        <v>22000</v>
      </c>
      <c r="G25" s="13" t="s">
        <v>220</v>
      </c>
      <c r="H25" s="9">
        <v>283000</v>
      </c>
      <c r="I25" s="9">
        <v>10000</v>
      </c>
      <c r="J25" s="9">
        <v>392000</v>
      </c>
      <c r="K25" s="9">
        <v>34000</v>
      </c>
      <c r="L25" s="9">
        <v>401000</v>
      </c>
      <c r="M25" s="9">
        <v>25000</v>
      </c>
    </row>
    <row r="26" spans="1:13" ht="12.45" customHeight="1">
      <c r="A26" s="12" t="s">
        <v>324</v>
      </c>
      <c r="B26" s="9">
        <v>1016000</v>
      </c>
      <c r="C26" s="9">
        <v>81000</v>
      </c>
      <c r="D26" s="9">
        <v>3000</v>
      </c>
      <c r="E26" s="9">
        <v>144000</v>
      </c>
      <c r="F26" s="9">
        <v>63000</v>
      </c>
      <c r="G26" s="13" t="s">
        <v>191</v>
      </c>
      <c r="H26" s="9">
        <v>704000</v>
      </c>
      <c r="I26" s="9">
        <v>20000</v>
      </c>
      <c r="J26" s="9">
        <v>935000</v>
      </c>
      <c r="K26" s="9">
        <v>81000</v>
      </c>
      <c r="L26" s="9">
        <v>911000</v>
      </c>
      <c r="M26" s="9">
        <v>105000</v>
      </c>
    </row>
    <row r="27" spans="1:13" ht="12.45" customHeight="1">
      <c r="A27" s="12" t="s">
        <v>325</v>
      </c>
      <c r="B27" s="9">
        <v>926000</v>
      </c>
      <c r="C27" s="9">
        <v>76000</v>
      </c>
      <c r="D27" s="13" t="s">
        <v>222</v>
      </c>
      <c r="E27" s="9">
        <v>160000</v>
      </c>
      <c r="F27" s="9">
        <v>73000</v>
      </c>
      <c r="G27" s="9">
        <v>14000</v>
      </c>
      <c r="H27" s="9">
        <v>591000</v>
      </c>
      <c r="I27" s="9">
        <v>12000</v>
      </c>
      <c r="J27" s="9">
        <v>836000</v>
      </c>
      <c r="K27" s="9">
        <v>91000</v>
      </c>
      <c r="L27" s="9">
        <v>850000</v>
      </c>
      <c r="M27" s="9">
        <v>77000</v>
      </c>
    </row>
    <row r="28" spans="1:13" ht="12.45" customHeight="1">
      <c r="A28" s="12" t="s">
        <v>326</v>
      </c>
      <c r="B28" s="9">
        <v>1227000</v>
      </c>
      <c r="C28" s="9">
        <v>77000</v>
      </c>
      <c r="D28" s="9">
        <v>1000</v>
      </c>
      <c r="E28" s="9">
        <v>178000</v>
      </c>
      <c r="F28" s="9">
        <v>77000</v>
      </c>
      <c r="G28" s="13" t="s">
        <v>191</v>
      </c>
      <c r="H28" s="9">
        <v>880000</v>
      </c>
      <c r="I28" s="9">
        <v>11000</v>
      </c>
      <c r="J28" s="9">
        <v>1029000</v>
      </c>
      <c r="K28" s="9">
        <v>198000</v>
      </c>
      <c r="L28" s="9">
        <v>1184000</v>
      </c>
      <c r="M28" s="9">
        <v>43000</v>
      </c>
    </row>
    <row r="29" spans="1:13" ht="12.45" customHeight="1">
      <c r="A29" s="10" t="s">
        <v>176</v>
      </c>
      <c r="B29" s="9">
        <v>13732000</v>
      </c>
      <c r="C29" s="9">
        <v>1425000</v>
      </c>
      <c r="D29" s="9">
        <v>35000</v>
      </c>
      <c r="E29" s="9">
        <v>920000</v>
      </c>
      <c r="F29" s="9">
        <v>1008000</v>
      </c>
      <c r="G29" s="9">
        <v>37000</v>
      </c>
      <c r="H29" s="9">
        <v>9935000</v>
      </c>
      <c r="I29" s="9">
        <v>373000</v>
      </c>
      <c r="J29" s="9">
        <v>11949000</v>
      </c>
      <c r="K29" s="9">
        <v>1783000</v>
      </c>
      <c r="L29" s="9">
        <v>13196000</v>
      </c>
      <c r="M29" s="9">
        <v>536000</v>
      </c>
    </row>
    <row r="30" spans="1:13" ht="12.45" customHeight="1">
      <c r="A30" s="12" t="s">
        <v>323</v>
      </c>
      <c r="B30" s="9">
        <v>1560000</v>
      </c>
      <c r="C30" s="9">
        <v>183000</v>
      </c>
      <c r="D30" s="13" t="s">
        <v>191</v>
      </c>
      <c r="E30" s="9">
        <v>105000</v>
      </c>
      <c r="F30" s="9">
        <v>94000</v>
      </c>
      <c r="G30" s="13" t="s">
        <v>191</v>
      </c>
      <c r="H30" s="9">
        <v>1087000</v>
      </c>
      <c r="I30" s="9">
        <v>84000</v>
      </c>
      <c r="J30" s="9">
        <v>1422000</v>
      </c>
      <c r="K30" s="9">
        <v>137000</v>
      </c>
      <c r="L30" s="9">
        <v>1512000</v>
      </c>
      <c r="M30" s="9">
        <v>47000</v>
      </c>
    </row>
    <row r="31" spans="1:13" ht="12.45" customHeight="1">
      <c r="A31" s="12" t="s">
        <v>324</v>
      </c>
      <c r="B31" s="9">
        <v>3564000</v>
      </c>
      <c r="C31" s="9">
        <v>434000</v>
      </c>
      <c r="D31" s="13" t="s">
        <v>191</v>
      </c>
      <c r="E31" s="9">
        <v>260000</v>
      </c>
      <c r="F31" s="9">
        <v>251000</v>
      </c>
      <c r="G31" s="13" t="s">
        <v>191</v>
      </c>
      <c r="H31" s="9">
        <v>2464000</v>
      </c>
      <c r="I31" s="9">
        <v>142000</v>
      </c>
      <c r="J31" s="9">
        <v>3296000</v>
      </c>
      <c r="K31" s="9">
        <v>268000</v>
      </c>
      <c r="L31" s="9">
        <v>3386000</v>
      </c>
      <c r="M31" s="9">
        <v>178000</v>
      </c>
    </row>
    <row r="32" spans="1:13" ht="12.45" customHeight="1">
      <c r="A32" s="12" t="s">
        <v>325</v>
      </c>
      <c r="B32" s="9">
        <v>3322000</v>
      </c>
      <c r="C32" s="9">
        <v>404000</v>
      </c>
      <c r="D32" s="9">
        <v>4000</v>
      </c>
      <c r="E32" s="9">
        <v>224000</v>
      </c>
      <c r="F32" s="9">
        <v>228000</v>
      </c>
      <c r="G32" s="9">
        <v>11000</v>
      </c>
      <c r="H32" s="9">
        <v>2387000</v>
      </c>
      <c r="I32" s="9">
        <v>63000</v>
      </c>
      <c r="J32" s="9">
        <v>2927000</v>
      </c>
      <c r="K32" s="9">
        <v>395000</v>
      </c>
      <c r="L32" s="9">
        <v>3122000</v>
      </c>
      <c r="M32" s="9">
        <v>200000</v>
      </c>
    </row>
    <row r="33" spans="1:14" ht="12.45" customHeight="1">
      <c r="A33" s="49" t="s">
        <v>326</v>
      </c>
      <c r="B33" s="21">
        <v>5286000</v>
      </c>
      <c r="C33" s="21">
        <v>404000</v>
      </c>
      <c r="D33" s="21">
        <v>21000</v>
      </c>
      <c r="E33" s="21">
        <v>330000</v>
      </c>
      <c r="F33" s="21">
        <v>435000</v>
      </c>
      <c r="G33" s="21">
        <v>17000</v>
      </c>
      <c r="H33" s="21">
        <v>3997000</v>
      </c>
      <c r="I33" s="21">
        <v>83000</v>
      </c>
      <c r="J33" s="21">
        <v>4304000</v>
      </c>
      <c r="K33" s="21">
        <v>982000</v>
      </c>
      <c r="L33" s="21">
        <v>5175000</v>
      </c>
      <c r="M33" s="21">
        <v>111000</v>
      </c>
    </row>
    <row r="34" spans="1:14" ht="11.25" customHeight="1">
      <c r="A34" s="344" t="s">
        <v>224</v>
      </c>
      <c r="B34" s="344"/>
      <c r="C34" s="344"/>
      <c r="D34" s="344"/>
      <c r="E34" s="344"/>
      <c r="F34" s="344"/>
      <c r="G34" s="344"/>
      <c r="H34" s="344"/>
      <c r="I34" s="344"/>
      <c r="J34" s="344"/>
      <c r="K34" s="344"/>
      <c r="L34" s="344"/>
      <c r="M34" s="344"/>
      <c r="N34" s="344"/>
    </row>
    <row r="35" spans="1:14" ht="11.25" customHeight="1">
      <c r="A35" s="344" t="s">
        <v>337</v>
      </c>
      <c r="B35" s="344"/>
      <c r="C35" s="344"/>
      <c r="D35" s="344"/>
      <c r="E35" s="344"/>
      <c r="F35" s="344"/>
      <c r="G35" s="344"/>
      <c r="H35" s="344"/>
      <c r="I35" s="344"/>
      <c r="J35" s="344"/>
      <c r="K35" s="344"/>
      <c r="L35" s="344"/>
      <c r="M35" s="344"/>
      <c r="N35" s="344"/>
    </row>
    <row r="36" spans="1:14" ht="1.95" customHeight="1"/>
    <row r="37" spans="1:14" ht="56.25" customHeight="1">
      <c r="A37" s="321" t="s">
        <v>338</v>
      </c>
      <c r="B37" s="321"/>
      <c r="C37" s="321"/>
      <c r="D37" s="321"/>
      <c r="E37" s="321"/>
      <c r="F37" s="321"/>
      <c r="G37" s="321"/>
      <c r="H37" s="321"/>
      <c r="I37" s="321"/>
      <c r="J37" s="321"/>
      <c r="K37" s="321"/>
      <c r="L37" s="321"/>
      <c r="M37" s="321"/>
      <c r="N37" s="321"/>
    </row>
  </sheetData>
  <mergeCells count="12">
    <mergeCell ref="A34:N34"/>
    <mergeCell ref="A35:N35"/>
    <mergeCell ref="A37:N37"/>
    <mergeCell ref="A1:N1"/>
    <mergeCell ref="A2:A3"/>
    <mergeCell ref="B2:B3"/>
    <mergeCell ref="C2:C3"/>
    <mergeCell ref="D2:I2"/>
    <mergeCell ref="J2:J3"/>
    <mergeCell ref="K2:K3"/>
    <mergeCell ref="L2:L3"/>
    <mergeCell ref="M2:M3"/>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249977111117893"/>
  </sheetPr>
  <dimension ref="A1:K26"/>
  <sheetViews>
    <sheetView topLeftCell="A12"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39" customHeight="1">
      <c r="A1" s="321" t="s">
        <v>339</v>
      </c>
      <c r="B1" s="321"/>
      <c r="C1" s="321"/>
      <c r="D1" s="321"/>
      <c r="E1" s="321"/>
      <c r="F1" s="321"/>
      <c r="G1" s="321"/>
      <c r="H1" s="321"/>
      <c r="I1" s="321"/>
      <c r="J1" s="321"/>
      <c r="K1" s="321"/>
    </row>
    <row r="2" spans="1:11" ht="1.95" customHeight="1"/>
    <row r="3" spans="1:11" ht="13.95" customHeight="1">
      <c r="A3" s="326" t="s">
        <v>340</v>
      </c>
      <c r="B3" s="328" t="s">
        <v>167</v>
      </c>
      <c r="C3" s="330" t="s">
        <v>178</v>
      </c>
      <c r="D3" s="331"/>
      <c r="E3" s="331"/>
      <c r="F3" s="331"/>
      <c r="G3" s="331"/>
      <c r="H3" s="332"/>
      <c r="I3" s="335" t="s">
        <v>341</v>
      </c>
      <c r="J3" s="349" t="s">
        <v>211</v>
      </c>
    </row>
    <row r="4" spans="1:11" ht="50.25" customHeight="1">
      <c r="A4" s="370"/>
      <c r="B4" s="329"/>
      <c r="C4" s="50" t="s">
        <v>167</v>
      </c>
      <c r="D4" s="23" t="s">
        <v>179</v>
      </c>
      <c r="E4" s="23" t="s">
        <v>183</v>
      </c>
      <c r="F4" s="23" t="s">
        <v>186</v>
      </c>
      <c r="G4" s="23" t="s">
        <v>192</v>
      </c>
      <c r="H4" s="24" t="s">
        <v>198</v>
      </c>
      <c r="I4" s="336"/>
      <c r="J4" s="350"/>
    </row>
    <row r="5" spans="1:11" ht="12.45" customHeight="1">
      <c r="A5" s="51" t="s">
        <v>342</v>
      </c>
      <c r="B5" s="7">
        <v>51764000</v>
      </c>
      <c r="C5" s="7">
        <v>16408000</v>
      </c>
      <c r="D5" s="7">
        <v>2570000</v>
      </c>
      <c r="E5" s="7">
        <v>3147000</v>
      </c>
      <c r="F5" s="7">
        <v>906000</v>
      </c>
      <c r="G5" s="7">
        <v>5774000</v>
      </c>
      <c r="H5" s="7">
        <v>4011000</v>
      </c>
      <c r="I5" s="7">
        <v>7822000</v>
      </c>
      <c r="J5" s="7">
        <v>27535000</v>
      </c>
    </row>
    <row r="6" spans="1:11" ht="12.45" customHeight="1">
      <c r="A6" s="8" t="s">
        <v>174</v>
      </c>
      <c r="B6" s="9">
        <v>7894000</v>
      </c>
      <c r="C6" s="9">
        <v>6059000</v>
      </c>
      <c r="D6" s="9">
        <v>768000</v>
      </c>
      <c r="E6" s="9">
        <v>1795000</v>
      </c>
      <c r="F6" s="9">
        <v>461000</v>
      </c>
      <c r="G6" s="9">
        <v>758000</v>
      </c>
      <c r="H6" s="9">
        <v>2277000</v>
      </c>
      <c r="I6" s="9">
        <v>439000</v>
      </c>
      <c r="J6" s="9">
        <v>1396000</v>
      </c>
    </row>
    <row r="7" spans="1:11" ht="36.75" customHeight="1">
      <c r="A7" s="10" t="s">
        <v>227</v>
      </c>
      <c r="B7" s="25">
        <v>794000</v>
      </c>
      <c r="C7" s="25">
        <v>651000</v>
      </c>
      <c r="D7" s="25">
        <v>537000</v>
      </c>
      <c r="E7" s="25">
        <v>7000</v>
      </c>
      <c r="F7" s="25">
        <v>54000</v>
      </c>
      <c r="G7" s="25">
        <v>22000</v>
      </c>
      <c r="H7" s="25">
        <v>31000</v>
      </c>
      <c r="I7" s="25">
        <v>99000</v>
      </c>
      <c r="J7" s="25">
        <v>44000</v>
      </c>
    </row>
    <row r="8" spans="1:11" ht="24.75" customHeight="1">
      <c r="A8" s="12" t="s">
        <v>343</v>
      </c>
      <c r="B8" s="11">
        <v>74000</v>
      </c>
      <c r="C8" s="11">
        <v>71000</v>
      </c>
      <c r="D8" s="11">
        <v>62000</v>
      </c>
      <c r="E8" s="16" t="s">
        <v>220</v>
      </c>
      <c r="F8" s="11">
        <v>6000</v>
      </c>
      <c r="G8" s="11">
        <v>1000</v>
      </c>
      <c r="H8" s="11">
        <v>1000</v>
      </c>
      <c r="I8" s="11">
        <v>1000</v>
      </c>
      <c r="J8" s="11">
        <v>2000</v>
      </c>
    </row>
    <row r="9" spans="1:11" ht="36.75" customHeight="1">
      <c r="A9" s="12" t="s">
        <v>344</v>
      </c>
      <c r="B9" s="25">
        <v>572000</v>
      </c>
      <c r="C9" s="25">
        <v>457000</v>
      </c>
      <c r="D9" s="25">
        <v>361000</v>
      </c>
      <c r="E9" s="25">
        <v>6000</v>
      </c>
      <c r="F9" s="25">
        <v>44000</v>
      </c>
      <c r="G9" s="25">
        <v>16000</v>
      </c>
      <c r="H9" s="25">
        <v>30000</v>
      </c>
      <c r="I9" s="25">
        <v>90000</v>
      </c>
      <c r="J9" s="25">
        <v>25000</v>
      </c>
    </row>
    <row r="10" spans="1:11" ht="24.75" customHeight="1">
      <c r="A10" s="12" t="s">
        <v>345</v>
      </c>
      <c r="B10" s="11">
        <v>45000</v>
      </c>
      <c r="C10" s="11">
        <v>32000</v>
      </c>
      <c r="D10" s="11">
        <v>29000</v>
      </c>
      <c r="E10" s="16" t="s">
        <v>220</v>
      </c>
      <c r="F10" s="16" t="s">
        <v>191</v>
      </c>
      <c r="G10" s="11">
        <v>1000</v>
      </c>
      <c r="H10" s="16" t="s">
        <v>220</v>
      </c>
      <c r="I10" s="16" t="s">
        <v>220</v>
      </c>
      <c r="J10" s="16" t="s">
        <v>191</v>
      </c>
    </row>
    <row r="11" spans="1:11" ht="49.5" customHeight="1">
      <c r="A11" s="12" t="s">
        <v>346</v>
      </c>
      <c r="B11" s="25">
        <v>103000</v>
      </c>
      <c r="C11" s="25">
        <v>91000</v>
      </c>
      <c r="D11" s="25">
        <v>85000</v>
      </c>
      <c r="E11" s="26" t="s">
        <v>220</v>
      </c>
      <c r="F11" s="25">
        <v>3000</v>
      </c>
      <c r="G11" s="25">
        <v>3000</v>
      </c>
      <c r="H11" s="26" t="s">
        <v>191</v>
      </c>
      <c r="I11" s="25">
        <v>7000</v>
      </c>
      <c r="J11" s="25">
        <v>4000</v>
      </c>
    </row>
    <row r="12" spans="1:11" ht="36.75" customHeight="1">
      <c r="A12" s="10" t="s">
        <v>228</v>
      </c>
      <c r="B12" s="25">
        <v>4031000</v>
      </c>
      <c r="C12" s="25">
        <v>2848000</v>
      </c>
      <c r="D12" s="25">
        <v>103000</v>
      </c>
      <c r="E12" s="25">
        <v>1724000</v>
      </c>
      <c r="F12" s="25">
        <v>91000</v>
      </c>
      <c r="G12" s="25">
        <v>239000</v>
      </c>
      <c r="H12" s="25">
        <v>692000</v>
      </c>
      <c r="I12" s="25">
        <v>189000</v>
      </c>
      <c r="J12" s="25">
        <v>995000</v>
      </c>
    </row>
    <row r="13" spans="1:11" ht="36.75" customHeight="1">
      <c r="A13" s="12" t="s">
        <v>347</v>
      </c>
      <c r="B13" s="25">
        <v>3627000</v>
      </c>
      <c r="C13" s="25">
        <v>2585000</v>
      </c>
      <c r="D13" s="25">
        <v>83000</v>
      </c>
      <c r="E13" s="25">
        <v>1572000</v>
      </c>
      <c r="F13" s="25">
        <v>78000</v>
      </c>
      <c r="G13" s="25">
        <v>191000</v>
      </c>
      <c r="H13" s="25">
        <v>661000</v>
      </c>
      <c r="I13" s="25">
        <v>165000</v>
      </c>
      <c r="J13" s="25">
        <v>877000</v>
      </c>
    </row>
    <row r="14" spans="1:11" ht="24.75" customHeight="1">
      <c r="A14" s="12" t="s">
        <v>348</v>
      </c>
      <c r="B14" s="11">
        <v>293000</v>
      </c>
      <c r="C14" s="11">
        <v>173000</v>
      </c>
      <c r="D14" s="11">
        <v>18000</v>
      </c>
      <c r="E14" s="11">
        <v>75000</v>
      </c>
      <c r="F14" s="11">
        <v>10000</v>
      </c>
      <c r="G14" s="11">
        <v>46000</v>
      </c>
      <c r="H14" s="11">
        <v>23000</v>
      </c>
      <c r="I14" s="11">
        <v>16000</v>
      </c>
      <c r="J14" s="11">
        <v>104000</v>
      </c>
    </row>
    <row r="15" spans="1:11" ht="49.5" customHeight="1">
      <c r="A15" s="12" t="s">
        <v>349</v>
      </c>
      <c r="B15" s="25">
        <v>111000</v>
      </c>
      <c r="C15" s="25">
        <v>91000</v>
      </c>
      <c r="D15" s="25">
        <v>2000</v>
      </c>
      <c r="E15" s="25">
        <v>77000</v>
      </c>
      <c r="F15" s="26" t="s">
        <v>191</v>
      </c>
      <c r="G15" s="25">
        <v>2000</v>
      </c>
      <c r="H15" s="25">
        <v>8000</v>
      </c>
      <c r="I15" s="25">
        <v>8000</v>
      </c>
      <c r="J15" s="25">
        <v>13000</v>
      </c>
    </row>
    <row r="16" spans="1:11" ht="24.75" customHeight="1">
      <c r="A16" s="10" t="s">
        <v>229</v>
      </c>
      <c r="B16" s="11">
        <v>408000</v>
      </c>
      <c r="C16" s="11">
        <v>374000</v>
      </c>
      <c r="D16" s="11">
        <v>80000</v>
      </c>
      <c r="E16" s="11">
        <v>3000</v>
      </c>
      <c r="F16" s="11">
        <v>254000</v>
      </c>
      <c r="G16" s="11">
        <v>10000</v>
      </c>
      <c r="H16" s="11">
        <v>27000</v>
      </c>
      <c r="I16" s="11">
        <v>14000</v>
      </c>
      <c r="J16" s="11">
        <v>21000</v>
      </c>
    </row>
    <row r="17" spans="1:10" ht="24.75" customHeight="1">
      <c r="A17" s="12" t="s">
        <v>350</v>
      </c>
      <c r="B17" s="11">
        <v>114000</v>
      </c>
      <c r="C17" s="11">
        <v>101000</v>
      </c>
      <c r="D17" s="11">
        <v>22000</v>
      </c>
      <c r="E17" s="16" t="s">
        <v>222</v>
      </c>
      <c r="F17" s="11">
        <v>69000</v>
      </c>
      <c r="G17" s="11">
        <v>1000</v>
      </c>
      <c r="H17" s="11">
        <v>9000</v>
      </c>
      <c r="I17" s="11">
        <v>6000</v>
      </c>
      <c r="J17" s="11">
        <v>6000</v>
      </c>
    </row>
    <row r="18" spans="1:10" ht="36.75" customHeight="1">
      <c r="A18" s="12" t="s">
        <v>351</v>
      </c>
      <c r="B18" s="25">
        <v>91000</v>
      </c>
      <c r="C18" s="25">
        <v>86000</v>
      </c>
      <c r="D18" s="25">
        <v>5000</v>
      </c>
      <c r="E18" s="26" t="s">
        <v>191</v>
      </c>
      <c r="F18" s="25">
        <v>72000</v>
      </c>
      <c r="G18" s="25">
        <v>3000</v>
      </c>
      <c r="H18" s="25">
        <v>5000</v>
      </c>
      <c r="I18" s="26" t="s">
        <v>220</v>
      </c>
      <c r="J18" s="25">
        <v>4000</v>
      </c>
    </row>
    <row r="19" spans="1:10" ht="12.45" customHeight="1">
      <c r="A19" s="12" t="s">
        <v>352</v>
      </c>
      <c r="B19" s="9">
        <v>41000</v>
      </c>
      <c r="C19" s="9">
        <v>40000</v>
      </c>
      <c r="D19" s="13" t="s">
        <v>191</v>
      </c>
      <c r="E19" s="13" t="s">
        <v>220</v>
      </c>
      <c r="F19" s="9">
        <v>34000</v>
      </c>
      <c r="G19" s="13" t="s">
        <v>220</v>
      </c>
      <c r="H19" s="9">
        <v>5000</v>
      </c>
      <c r="I19" s="9">
        <v>1000</v>
      </c>
      <c r="J19" s="13" t="s">
        <v>220</v>
      </c>
    </row>
    <row r="20" spans="1:10" ht="61.5" customHeight="1">
      <c r="A20" s="12" t="s">
        <v>353</v>
      </c>
      <c r="B20" s="25">
        <v>82000</v>
      </c>
      <c r="C20" s="25">
        <v>71000</v>
      </c>
      <c r="D20" s="25">
        <v>40000</v>
      </c>
      <c r="E20" s="26" t="s">
        <v>220</v>
      </c>
      <c r="F20" s="25">
        <v>19000</v>
      </c>
      <c r="G20" s="25">
        <v>5000</v>
      </c>
      <c r="H20" s="25">
        <v>6000</v>
      </c>
      <c r="I20" s="25">
        <v>5000</v>
      </c>
      <c r="J20" s="25">
        <v>7000</v>
      </c>
    </row>
    <row r="21" spans="1:10" ht="49.5" customHeight="1">
      <c r="A21" s="12" t="s">
        <v>354</v>
      </c>
      <c r="B21" s="25">
        <v>80000</v>
      </c>
      <c r="C21" s="25">
        <v>75000</v>
      </c>
      <c r="D21" s="25">
        <v>12000</v>
      </c>
      <c r="E21" s="26" t="s">
        <v>220</v>
      </c>
      <c r="F21" s="25">
        <v>59000</v>
      </c>
      <c r="G21" s="25">
        <v>1000</v>
      </c>
      <c r="H21" s="26" t="s">
        <v>191</v>
      </c>
      <c r="I21" s="26" t="s">
        <v>220</v>
      </c>
      <c r="J21" s="26" t="s">
        <v>191</v>
      </c>
    </row>
    <row r="22" spans="1:10" ht="24.75" customHeight="1">
      <c r="A22" s="10" t="s">
        <v>230</v>
      </c>
      <c r="B22" s="11">
        <v>712000</v>
      </c>
      <c r="C22" s="11">
        <v>499000</v>
      </c>
      <c r="D22" s="11">
        <v>18000</v>
      </c>
      <c r="E22" s="11">
        <v>10000</v>
      </c>
      <c r="F22" s="11">
        <v>4000</v>
      </c>
      <c r="G22" s="11">
        <v>462000</v>
      </c>
      <c r="H22" s="11">
        <v>5000</v>
      </c>
      <c r="I22" s="11">
        <v>52000</v>
      </c>
      <c r="J22" s="11">
        <v>160000</v>
      </c>
    </row>
    <row r="23" spans="1:10" ht="12.45" customHeight="1">
      <c r="A23" s="12" t="s">
        <v>355</v>
      </c>
      <c r="B23" s="9">
        <v>47000</v>
      </c>
      <c r="C23" s="9">
        <v>37000</v>
      </c>
      <c r="D23" s="9">
        <v>1000</v>
      </c>
      <c r="E23" s="9">
        <v>1000</v>
      </c>
      <c r="F23" s="13" t="s">
        <v>220</v>
      </c>
      <c r="G23" s="9">
        <v>35000</v>
      </c>
      <c r="H23" s="13" t="s">
        <v>222</v>
      </c>
      <c r="I23" s="13" t="s">
        <v>191</v>
      </c>
      <c r="J23" s="9">
        <v>9000</v>
      </c>
    </row>
    <row r="24" spans="1:10" ht="24.75" customHeight="1">
      <c r="A24" s="12" t="s">
        <v>356</v>
      </c>
      <c r="B24" s="11">
        <v>39000</v>
      </c>
      <c r="C24" s="11">
        <v>24000</v>
      </c>
      <c r="D24" s="16" t="s">
        <v>220</v>
      </c>
      <c r="E24" s="16" t="s">
        <v>220</v>
      </c>
      <c r="F24" s="16" t="s">
        <v>220</v>
      </c>
      <c r="G24" s="11">
        <v>19000</v>
      </c>
      <c r="H24" s="16" t="s">
        <v>220</v>
      </c>
      <c r="I24" s="16" t="s">
        <v>220</v>
      </c>
      <c r="J24" s="11">
        <v>15000</v>
      </c>
    </row>
    <row r="25" spans="1:10" ht="12.45" customHeight="1">
      <c r="A25" s="12" t="s">
        <v>357</v>
      </c>
      <c r="B25" s="9">
        <v>233000</v>
      </c>
      <c r="C25" s="9">
        <v>193000</v>
      </c>
      <c r="D25" s="9">
        <v>4000</v>
      </c>
      <c r="E25" s="13" t="s">
        <v>220</v>
      </c>
      <c r="F25" s="13" t="s">
        <v>220</v>
      </c>
      <c r="G25" s="9">
        <v>189000</v>
      </c>
      <c r="H25" s="13" t="s">
        <v>220</v>
      </c>
      <c r="I25" s="9">
        <v>7000</v>
      </c>
      <c r="J25" s="9">
        <v>33000</v>
      </c>
    </row>
    <row r="26" spans="1:10" ht="12.45" customHeight="1">
      <c r="A26" s="39" t="s">
        <v>358</v>
      </c>
      <c r="B26" s="9">
        <v>13000</v>
      </c>
      <c r="C26" s="9">
        <v>11000</v>
      </c>
      <c r="D26" s="13" t="s">
        <v>220</v>
      </c>
      <c r="E26" s="13" t="s">
        <v>220</v>
      </c>
      <c r="F26" s="13" t="s">
        <v>220</v>
      </c>
      <c r="G26" s="9">
        <v>10000</v>
      </c>
      <c r="H26" s="13" t="s">
        <v>220</v>
      </c>
      <c r="I26" s="13" t="s">
        <v>220</v>
      </c>
      <c r="J26" s="9">
        <v>2000</v>
      </c>
    </row>
  </sheetData>
  <mergeCells count="6">
    <mergeCell ref="A1:K1"/>
    <mergeCell ref="A3:A4"/>
    <mergeCell ref="B3:B4"/>
    <mergeCell ref="C3:H3"/>
    <mergeCell ref="I3:I4"/>
    <mergeCell ref="J3:J4"/>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249977111117893"/>
  </sheetPr>
  <dimension ref="A1:K26"/>
  <sheetViews>
    <sheetView topLeftCell="A16"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39" customHeight="1">
      <c r="A1" s="321" t="s">
        <v>339</v>
      </c>
      <c r="B1" s="321"/>
      <c r="C1" s="321"/>
      <c r="D1" s="321"/>
      <c r="E1" s="321"/>
      <c r="F1" s="321"/>
      <c r="G1" s="321"/>
      <c r="H1" s="321"/>
      <c r="I1" s="321"/>
      <c r="J1" s="321"/>
      <c r="K1" s="321"/>
    </row>
    <row r="2" spans="1:11" ht="1.95" customHeight="1"/>
    <row r="3" spans="1:11" ht="13.95" customHeight="1">
      <c r="A3" s="326" t="s">
        <v>340</v>
      </c>
      <c r="B3" s="328" t="s">
        <v>167</v>
      </c>
      <c r="C3" s="330" t="s">
        <v>178</v>
      </c>
      <c r="D3" s="331"/>
      <c r="E3" s="331"/>
      <c r="F3" s="331"/>
      <c r="G3" s="331"/>
      <c r="H3" s="332"/>
      <c r="I3" s="335" t="s">
        <v>341</v>
      </c>
      <c r="J3" s="349" t="s">
        <v>211</v>
      </c>
    </row>
    <row r="4" spans="1:11" ht="50.25" customHeight="1">
      <c r="A4" s="370"/>
      <c r="B4" s="329"/>
      <c r="C4" s="50" t="s">
        <v>167</v>
      </c>
      <c r="D4" s="23" t="s">
        <v>179</v>
      </c>
      <c r="E4" s="23" t="s">
        <v>183</v>
      </c>
      <c r="F4" s="23" t="s">
        <v>186</v>
      </c>
      <c r="G4" s="23" t="s">
        <v>192</v>
      </c>
      <c r="H4" s="24" t="s">
        <v>198</v>
      </c>
      <c r="I4" s="336"/>
      <c r="J4" s="350"/>
    </row>
    <row r="5" spans="1:11" ht="24.75" customHeight="1">
      <c r="A5" s="18" t="s">
        <v>359</v>
      </c>
      <c r="B5" s="29">
        <v>191000</v>
      </c>
      <c r="C5" s="29">
        <v>103000</v>
      </c>
      <c r="D5" s="29">
        <v>9000</v>
      </c>
      <c r="E5" s="29">
        <v>9000</v>
      </c>
      <c r="F5" s="29">
        <v>3000</v>
      </c>
      <c r="G5" s="29">
        <v>80000</v>
      </c>
      <c r="H5" s="32" t="s">
        <v>191</v>
      </c>
      <c r="I5" s="29">
        <v>40000</v>
      </c>
      <c r="J5" s="29">
        <v>48000</v>
      </c>
    </row>
    <row r="6" spans="1:11" ht="49.5" customHeight="1">
      <c r="A6" s="12" t="s">
        <v>360</v>
      </c>
      <c r="B6" s="25">
        <v>188000</v>
      </c>
      <c r="C6" s="25">
        <v>131000</v>
      </c>
      <c r="D6" s="26" t="s">
        <v>191</v>
      </c>
      <c r="E6" s="26" t="s">
        <v>222</v>
      </c>
      <c r="F6" s="26" t="s">
        <v>220</v>
      </c>
      <c r="G6" s="25">
        <v>129000</v>
      </c>
      <c r="H6" s="26" t="s">
        <v>220</v>
      </c>
      <c r="I6" s="25">
        <v>3000</v>
      </c>
      <c r="J6" s="25">
        <v>54000</v>
      </c>
    </row>
    <row r="7" spans="1:11" ht="12.45" customHeight="1">
      <c r="A7" s="10" t="s">
        <v>231</v>
      </c>
      <c r="B7" s="9">
        <v>1949000</v>
      </c>
      <c r="C7" s="9">
        <v>1686000</v>
      </c>
      <c r="D7" s="9">
        <v>30000</v>
      </c>
      <c r="E7" s="9">
        <v>51000</v>
      </c>
      <c r="F7" s="9">
        <v>58000</v>
      </c>
      <c r="G7" s="9">
        <v>25000</v>
      </c>
      <c r="H7" s="9">
        <v>1522000</v>
      </c>
      <c r="I7" s="9">
        <v>86000</v>
      </c>
      <c r="J7" s="9">
        <v>177000</v>
      </c>
    </row>
    <row r="8" spans="1:11" ht="49.5" customHeight="1">
      <c r="A8" s="12" t="s">
        <v>361</v>
      </c>
      <c r="B8" s="25">
        <v>127000</v>
      </c>
      <c r="C8" s="25">
        <v>110000</v>
      </c>
      <c r="D8" s="26" t="s">
        <v>220</v>
      </c>
      <c r="E8" s="25">
        <v>1000</v>
      </c>
      <c r="F8" s="25">
        <v>6000</v>
      </c>
      <c r="G8" s="26" t="s">
        <v>220</v>
      </c>
      <c r="H8" s="25">
        <v>101000</v>
      </c>
      <c r="I8" s="25">
        <v>3000</v>
      </c>
      <c r="J8" s="25">
        <v>15000</v>
      </c>
    </row>
    <row r="9" spans="1:11" ht="24.75" customHeight="1">
      <c r="A9" s="12" t="s">
        <v>362</v>
      </c>
      <c r="B9" s="11">
        <v>80000</v>
      </c>
      <c r="C9" s="11">
        <v>71000</v>
      </c>
      <c r="D9" s="11">
        <v>1000</v>
      </c>
      <c r="E9" s="16" t="s">
        <v>220</v>
      </c>
      <c r="F9" s="11">
        <v>6000</v>
      </c>
      <c r="G9" s="16" t="s">
        <v>220</v>
      </c>
      <c r="H9" s="11">
        <v>64000</v>
      </c>
      <c r="I9" s="16" t="s">
        <v>191</v>
      </c>
      <c r="J9" s="11">
        <v>8000</v>
      </c>
    </row>
    <row r="10" spans="1:11" ht="49.5" customHeight="1">
      <c r="A10" s="12" t="s">
        <v>363</v>
      </c>
      <c r="B10" s="25">
        <v>303000</v>
      </c>
      <c r="C10" s="25">
        <v>274000</v>
      </c>
      <c r="D10" s="26" t="s">
        <v>191</v>
      </c>
      <c r="E10" s="25">
        <v>1000</v>
      </c>
      <c r="F10" s="25">
        <v>1000</v>
      </c>
      <c r="G10" s="26" t="s">
        <v>191</v>
      </c>
      <c r="H10" s="25">
        <v>268000</v>
      </c>
      <c r="I10" s="25">
        <v>12000</v>
      </c>
      <c r="J10" s="25">
        <v>18000</v>
      </c>
    </row>
    <row r="11" spans="1:11" ht="49.5" customHeight="1">
      <c r="A11" s="12" t="s">
        <v>364</v>
      </c>
      <c r="B11" s="25">
        <v>399000</v>
      </c>
      <c r="C11" s="25">
        <v>365000</v>
      </c>
      <c r="D11" s="26" t="s">
        <v>220</v>
      </c>
      <c r="E11" s="25">
        <v>23000</v>
      </c>
      <c r="F11" s="25">
        <v>10000</v>
      </c>
      <c r="G11" s="26" t="s">
        <v>191</v>
      </c>
      <c r="H11" s="25">
        <v>329000</v>
      </c>
      <c r="I11" s="25">
        <v>13000</v>
      </c>
      <c r="J11" s="25">
        <v>22000</v>
      </c>
    </row>
    <row r="12" spans="1:11" ht="24.75" customHeight="1">
      <c r="A12" s="12" t="s">
        <v>365</v>
      </c>
      <c r="B12" s="11">
        <v>96000</v>
      </c>
      <c r="C12" s="11">
        <v>69000</v>
      </c>
      <c r="D12" s="11">
        <v>3000</v>
      </c>
      <c r="E12" s="16" t="s">
        <v>191</v>
      </c>
      <c r="F12" s="11">
        <v>3000</v>
      </c>
      <c r="G12" s="16" t="s">
        <v>191</v>
      </c>
      <c r="H12" s="11">
        <v>57000</v>
      </c>
      <c r="I12" s="11">
        <v>4000</v>
      </c>
      <c r="J12" s="11">
        <v>22000</v>
      </c>
    </row>
    <row r="13" spans="1:11" ht="24.75" customHeight="1">
      <c r="A13" s="12" t="s">
        <v>366</v>
      </c>
      <c r="B13" s="11">
        <v>388000</v>
      </c>
      <c r="C13" s="11">
        <v>343000</v>
      </c>
      <c r="D13" s="16" t="s">
        <v>191</v>
      </c>
      <c r="E13" s="16" t="s">
        <v>191</v>
      </c>
      <c r="F13" s="11">
        <v>3000</v>
      </c>
      <c r="G13" s="11">
        <v>2000</v>
      </c>
      <c r="H13" s="11">
        <v>332000</v>
      </c>
      <c r="I13" s="11">
        <v>20000</v>
      </c>
      <c r="J13" s="11">
        <v>24000</v>
      </c>
    </row>
    <row r="14" spans="1:11" ht="12.45" customHeight="1">
      <c r="A14" s="12" t="s">
        <v>367</v>
      </c>
      <c r="B14" s="9">
        <v>501000</v>
      </c>
      <c r="C14" s="9">
        <v>406000</v>
      </c>
      <c r="D14" s="9">
        <v>20000</v>
      </c>
      <c r="E14" s="9">
        <v>19000</v>
      </c>
      <c r="F14" s="9">
        <v>27000</v>
      </c>
      <c r="G14" s="9">
        <v>16000</v>
      </c>
      <c r="H14" s="9">
        <v>324000</v>
      </c>
      <c r="I14" s="9">
        <v>30000</v>
      </c>
      <c r="J14" s="9">
        <v>65000</v>
      </c>
    </row>
    <row r="15" spans="1:11" ht="36.75" customHeight="1">
      <c r="A15" s="12" t="s">
        <v>368</v>
      </c>
      <c r="B15" s="25">
        <v>55000</v>
      </c>
      <c r="C15" s="25">
        <v>49000</v>
      </c>
      <c r="D15" s="26" t="s">
        <v>222</v>
      </c>
      <c r="E15" s="26" t="s">
        <v>191</v>
      </c>
      <c r="F15" s="25">
        <v>2000</v>
      </c>
      <c r="G15" s="26" t="s">
        <v>220</v>
      </c>
      <c r="H15" s="25">
        <v>46000</v>
      </c>
      <c r="I15" s="25">
        <v>3000</v>
      </c>
      <c r="J15" s="25">
        <v>3000</v>
      </c>
    </row>
    <row r="16" spans="1:11" ht="24.75" customHeight="1">
      <c r="A16" s="8" t="s">
        <v>175</v>
      </c>
      <c r="B16" s="11">
        <v>9522000</v>
      </c>
      <c r="C16" s="11">
        <v>2405000</v>
      </c>
      <c r="D16" s="11">
        <v>667000</v>
      </c>
      <c r="E16" s="11">
        <v>463000</v>
      </c>
      <c r="F16" s="11">
        <v>148000</v>
      </c>
      <c r="G16" s="11">
        <v>486000</v>
      </c>
      <c r="H16" s="11">
        <v>641000</v>
      </c>
      <c r="I16" s="11">
        <v>5519000</v>
      </c>
      <c r="J16" s="11">
        <v>1597000</v>
      </c>
    </row>
    <row r="17" spans="1:10" ht="24.75" customHeight="1">
      <c r="A17" s="10" t="s">
        <v>369</v>
      </c>
      <c r="B17" s="11">
        <v>6136000</v>
      </c>
      <c r="C17" s="11">
        <v>764000</v>
      </c>
      <c r="D17" s="11">
        <v>381000</v>
      </c>
      <c r="E17" s="11">
        <v>45000</v>
      </c>
      <c r="F17" s="11">
        <v>43000</v>
      </c>
      <c r="G17" s="11">
        <v>283000</v>
      </c>
      <c r="H17" s="11">
        <v>12000</v>
      </c>
      <c r="I17" s="11">
        <v>4701000</v>
      </c>
      <c r="J17" s="11">
        <v>671000</v>
      </c>
    </row>
    <row r="18" spans="1:10" ht="12.45" customHeight="1">
      <c r="A18" s="10" t="s">
        <v>370</v>
      </c>
      <c r="B18" s="9">
        <v>1135000</v>
      </c>
      <c r="C18" s="9">
        <v>587000</v>
      </c>
      <c r="D18" s="9">
        <v>83000</v>
      </c>
      <c r="E18" s="9">
        <v>136000</v>
      </c>
      <c r="F18" s="9">
        <v>32000</v>
      </c>
      <c r="G18" s="9">
        <v>77000</v>
      </c>
      <c r="H18" s="9">
        <v>258000</v>
      </c>
      <c r="I18" s="9">
        <v>303000</v>
      </c>
      <c r="J18" s="9">
        <v>245000</v>
      </c>
    </row>
    <row r="19" spans="1:10" ht="24.75" customHeight="1">
      <c r="A19" s="10" t="s">
        <v>371</v>
      </c>
      <c r="B19" s="11">
        <v>915000</v>
      </c>
      <c r="C19" s="11">
        <v>225000</v>
      </c>
      <c r="D19" s="11">
        <v>59000</v>
      </c>
      <c r="E19" s="11">
        <v>64000</v>
      </c>
      <c r="F19" s="11">
        <v>24000</v>
      </c>
      <c r="G19" s="11">
        <v>67000</v>
      </c>
      <c r="H19" s="11">
        <v>11000</v>
      </c>
      <c r="I19" s="11">
        <v>235000</v>
      </c>
      <c r="J19" s="11">
        <v>455000</v>
      </c>
    </row>
    <row r="20" spans="1:10" ht="24.75" customHeight="1">
      <c r="A20" s="10" t="s">
        <v>372</v>
      </c>
      <c r="B20" s="11">
        <v>1088000</v>
      </c>
      <c r="C20" s="11">
        <v>791000</v>
      </c>
      <c r="D20" s="11">
        <v>142000</v>
      </c>
      <c r="E20" s="11">
        <v>193000</v>
      </c>
      <c r="F20" s="11">
        <v>49000</v>
      </c>
      <c r="G20" s="11">
        <v>57000</v>
      </c>
      <c r="H20" s="11">
        <v>350000</v>
      </c>
      <c r="I20" s="11">
        <v>92000</v>
      </c>
      <c r="J20" s="11">
        <v>205000</v>
      </c>
    </row>
    <row r="21" spans="1:10" ht="24.75" customHeight="1">
      <c r="A21" s="10" t="s">
        <v>373</v>
      </c>
      <c r="B21" s="11">
        <v>248000</v>
      </c>
      <c r="C21" s="11">
        <v>39000</v>
      </c>
      <c r="D21" s="16" t="s">
        <v>191</v>
      </c>
      <c r="E21" s="11">
        <v>25000</v>
      </c>
      <c r="F21" s="16" t="s">
        <v>220</v>
      </c>
      <c r="G21" s="11">
        <v>2000</v>
      </c>
      <c r="H21" s="11">
        <v>10000</v>
      </c>
      <c r="I21" s="11">
        <v>188000</v>
      </c>
      <c r="J21" s="11">
        <v>21000</v>
      </c>
    </row>
    <row r="22" spans="1:10" ht="24.75" customHeight="1">
      <c r="A22" s="8" t="s">
        <v>176</v>
      </c>
      <c r="B22" s="11">
        <v>34349000</v>
      </c>
      <c r="C22" s="11">
        <v>7944000</v>
      </c>
      <c r="D22" s="11">
        <v>1136000</v>
      </c>
      <c r="E22" s="11">
        <v>889000</v>
      </c>
      <c r="F22" s="11">
        <v>297000</v>
      </c>
      <c r="G22" s="11">
        <v>4529000</v>
      </c>
      <c r="H22" s="11">
        <v>1093000</v>
      </c>
      <c r="I22" s="11">
        <v>1863000</v>
      </c>
      <c r="J22" s="11">
        <v>24541000</v>
      </c>
    </row>
    <row r="23" spans="1:10" ht="24.75" customHeight="1">
      <c r="A23" s="10" t="s">
        <v>374</v>
      </c>
      <c r="B23" s="11">
        <v>4985000</v>
      </c>
      <c r="C23" s="11">
        <v>1368000</v>
      </c>
      <c r="D23" s="11">
        <v>176000</v>
      </c>
      <c r="E23" s="11">
        <v>180000</v>
      </c>
      <c r="F23" s="11">
        <v>58000</v>
      </c>
      <c r="G23" s="11">
        <v>599000</v>
      </c>
      <c r="H23" s="11">
        <v>354000</v>
      </c>
      <c r="I23" s="11">
        <v>328000</v>
      </c>
      <c r="J23" s="11">
        <v>3288000</v>
      </c>
    </row>
    <row r="24" spans="1:10" ht="36.75" customHeight="1">
      <c r="A24" s="10" t="s">
        <v>375</v>
      </c>
      <c r="B24" s="25">
        <v>7868000</v>
      </c>
      <c r="C24" s="25">
        <v>2012000</v>
      </c>
      <c r="D24" s="25">
        <v>265000</v>
      </c>
      <c r="E24" s="25">
        <v>313000</v>
      </c>
      <c r="F24" s="25">
        <v>77000</v>
      </c>
      <c r="G24" s="25">
        <v>1055000</v>
      </c>
      <c r="H24" s="25">
        <v>303000</v>
      </c>
      <c r="I24" s="25">
        <v>423000</v>
      </c>
      <c r="J24" s="25">
        <v>5433000</v>
      </c>
    </row>
    <row r="25" spans="1:10" ht="36.75" customHeight="1">
      <c r="A25" s="10" t="s">
        <v>376</v>
      </c>
      <c r="B25" s="25">
        <v>3919000</v>
      </c>
      <c r="C25" s="25">
        <v>383000</v>
      </c>
      <c r="D25" s="25">
        <v>48000</v>
      </c>
      <c r="E25" s="25">
        <v>37000</v>
      </c>
      <c r="F25" s="25">
        <v>12000</v>
      </c>
      <c r="G25" s="25">
        <v>273000</v>
      </c>
      <c r="H25" s="25">
        <v>13000</v>
      </c>
      <c r="I25" s="25">
        <v>159000</v>
      </c>
      <c r="J25" s="25">
        <v>3378000</v>
      </c>
    </row>
    <row r="26" spans="1:10" ht="36.75" customHeight="1">
      <c r="A26" s="10" t="s">
        <v>377</v>
      </c>
      <c r="B26" s="25">
        <v>559000</v>
      </c>
      <c r="C26" s="25">
        <v>75000</v>
      </c>
      <c r="D26" s="26" t="s">
        <v>191</v>
      </c>
      <c r="E26" s="25">
        <v>8000</v>
      </c>
      <c r="F26" s="26" t="s">
        <v>191</v>
      </c>
      <c r="G26" s="25">
        <v>56000</v>
      </c>
      <c r="H26" s="25">
        <v>3000</v>
      </c>
      <c r="I26" s="25">
        <v>28000</v>
      </c>
      <c r="J26" s="25">
        <v>457000</v>
      </c>
    </row>
  </sheetData>
  <mergeCells count="6">
    <mergeCell ref="A1:K1"/>
    <mergeCell ref="A3:A4"/>
    <mergeCell ref="B3:B4"/>
    <mergeCell ref="C3:H3"/>
    <mergeCell ref="I3:I4"/>
    <mergeCell ref="J3:J4"/>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249977111117893"/>
  </sheetPr>
  <dimension ref="A1:K10"/>
  <sheetViews>
    <sheetView workbookViewId="0">
      <selection sqref="A1:M1"/>
    </sheetView>
  </sheetViews>
  <sheetFormatPr defaultRowHeight="13.2"/>
  <cols>
    <col min="1" max="1" width="20.77734375" customWidth="1"/>
    <col min="2" max="2" width="11.109375" customWidth="1"/>
    <col min="3" max="3" width="10.77734375" customWidth="1"/>
    <col min="4" max="4" width="15.109375" customWidth="1"/>
    <col min="5" max="5" width="14" customWidth="1"/>
    <col min="6" max="6" width="9.77734375" customWidth="1"/>
    <col min="7" max="7" width="10.6640625" customWidth="1"/>
    <col min="8" max="8" width="11.33203125" customWidth="1"/>
    <col min="9" max="9" width="10.109375" customWidth="1"/>
    <col min="10" max="10" width="11.109375" customWidth="1"/>
    <col min="11" max="11" width="2.44140625" customWidth="1"/>
  </cols>
  <sheetData>
    <row r="1" spans="1:11" ht="42.75" customHeight="1">
      <c r="A1" s="321" t="s">
        <v>339</v>
      </c>
      <c r="B1" s="321"/>
      <c r="C1" s="321"/>
      <c r="D1" s="321"/>
      <c r="E1" s="321"/>
      <c r="F1" s="321"/>
      <c r="G1" s="321"/>
      <c r="H1" s="321"/>
      <c r="I1" s="321"/>
      <c r="J1" s="321"/>
      <c r="K1" s="321"/>
    </row>
    <row r="2" spans="1:11" ht="13.95" customHeight="1">
      <c r="A2" s="326" t="s">
        <v>340</v>
      </c>
      <c r="B2" s="328" t="s">
        <v>167</v>
      </c>
      <c r="C2" s="330" t="s">
        <v>178</v>
      </c>
      <c r="D2" s="331"/>
      <c r="E2" s="331"/>
      <c r="F2" s="331"/>
      <c r="G2" s="331"/>
      <c r="H2" s="332"/>
      <c r="I2" s="335" t="s">
        <v>341</v>
      </c>
      <c r="J2" s="349" t="s">
        <v>211</v>
      </c>
    </row>
    <row r="3" spans="1:11" ht="50.25" customHeight="1">
      <c r="A3" s="370"/>
      <c r="B3" s="329"/>
      <c r="C3" s="50" t="s">
        <v>167</v>
      </c>
      <c r="D3" s="23" t="s">
        <v>179</v>
      </c>
      <c r="E3" s="23" t="s">
        <v>183</v>
      </c>
      <c r="F3" s="23" t="s">
        <v>186</v>
      </c>
      <c r="G3" s="23" t="s">
        <v>192</v>
      </c>
      <c r="H3" s="24" t="s">
        <v>198</v>
      </c>
      <c r="I3" s="336"/>
      <c r="J3" s="350"/>
    </row>
    <row r="4" spans="1:11" ht="36.75" customHeight="1">
      <c r="A4" s="14" t="s">
        <v>378</v>
      </c>
      <c r="B4" s="27">
        <v>2072000</v>
      </c>
      <c r="C4" s="27">
        <v>631000</v>
      </c>
      <c r="D4" s="27">
        <v>22000</v>
      </c>
      <c r="E4" s="27">
        <v>19000</v>
      </c>
      <c r="F4" s="27">
        <v>6000</v>
      </c>
      <c r="G4" s="27">
        <v>573000</v>
      </c>
      <c r="H4" s="27">
        <v>10000</v>
      </c>
      <c r="I4" s="27">
        <v>113000</v>
      </c>
      <c r="J4" s="27">
        <v>1327000</v>
      </c>
    </row>
    <row r="5" spans="1:11" ht="36.75" customHeight="1">
      <c r="A5" s="10" t="s">
        <v>379</v>
      </c>
      <c r="B5" s="25">
        <v>4448000</v>
      </c>
      <c r="C5" s="25">
        <v>894000</v>
      </c>
      <c r="D5" s="25">
        <v>141000</v>
      </c>
      <c r="E5" s="25">
        <v>72000</v>
      </c>
      <c r="F5" s="25">
        <v>28000</v>
      </c>
      <c r="G5" s="25">
        <v>542000</v>
      </c>
      <c r="H5" s="25">
        <v>110000</v>
      </c>
      <c r="I5" s="25">
        <v>231000</v>
      </c>
      <c r="J5" s="25">
        <v>3323000</v>
      </c>
    </row>
    <row r="6" spans="1:11" ht="36.75" customHeight="1">
      <c r="A6" s="10" t="s">
        <v>380</v>
      </c>
      <c r="B6" s="25">
        <v>1408000</v>
      </c>
      <c r="C6" s="25">
        <v>182000</v>
      </c>
      <c r="D6" s="25">
        <v>36000</v>
      </c>
      <c r="E6" s="25">
        <v>12000</v>
      </c>
      <c r="F6" s="26" t="s">
        <v>191</v>
      </c>
      <c r="G6" s="25">
        <v>118000</v>
      </c>
      <c r="H6" s="25">
        <v>12000</v>
      </c>
      <c r="I6" s="25">
        <v>54000</v>
      </c>
      <c r="J6" s="25">
        <v>1172000</v>
      </c>
    </row>
    <row r="7" spans="1:11" ht="24.75" customHeight="1">
      <c r="A7" s="20" t="s">
        <v>381</v>
      </c>
      <c r="B7" s="52">
        <v>9089000</v>
      </c>
      <c r="C7" s="52">
        <v>2400000</v>
      </c>
      <c r="D7" s="52">
        <v>440000</v>
      </c>
      <c r="E7" s="52">
        <v>247000</v>
      </c>
      <c r="F7" s="52">
        <v>112000</v>
      </c>
      <c r="G7" s="52">
        <v>1312000</v>
      </c>
      <c r="H7" s="52">
        <v>288000</v>
      </c>
      <c r="I7" s="52">
        <v>527000</v>
      </c>
      <c r="J7" s="52">
        <v>6162000</v>
      </c>
    </row>
    <row r="8" spans="1:11" ht="21.45" customHeight="1">
      <c r="A8" s="344" t="s">
        <v>224</v>
      </c>
      <c r="B8" s="344"/>
      <c r="C8" s="344"/>
      <c r="D8" s="344"/>
      <c r="E8" s="344"/>
      <c r="F8" s="344"/>
      <c r="G8" s="344"/>
      <c r="H8" s="344"/>
      <c r="I8" s="344"/>
      <c r="J8" s="344"/>
      <c r="K8" s="344"/>
    </row>
    <row r="9" spans="1:11" ht="70.2" customHeight="1">
      <c r="A9" s="321" t="s">
        <v>233</v>
      </c>
      <c r="B9" s="321"/>
      <c r="C9" s="321"/>
      <c r="D9" s="321"/>
      <c r="E9" s="321"/>
      <c r="F9" s="321"/>
      <c r="G9" s="321"/>
      <c r="H9" s="321"/>
      <c r="I9" s="321"/>
      <c r="J9" s="321"/>
      <c r="K9" s="321"/>
    </row>
    <row r="10" spans="1:11" ht="1.95" customHeight="1"/>
  </sheetData>
  <mergeCells count="8">
    <mergeCell ref="A8:K8"/>
    <mergeCell ref="A9:K9"/>
    <mergeCell ref="A1:K1"/>
    <mergeCell ref="A2:A3"/>
    <mergeCell ref="B2:B3"/>
    <mergeCell ref="C2:H2"/>
    <mergeCell ref="I2:I3"/>
    <mergeCell ref="J2:J3"/>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249977111117893"/>
  </sheetPr>
  <dimension ref="A1:M39"/>
  <sheetViews>
    <sheetView topLeftCell="F1" workbookViewId="0">
      <selection sqref="A1:M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1" t="s">
        <v>382</v>
      </c>
      <c r="B1" s="321"/>
      <c r="C1" s="321"/>
      <c r="D1" s="321"/>
      <c r="E1" s="321"/>
      <c r="F1" s="321"/>
      <c r="G1" s="321"/>
      <c r="H1" s="321"/>
      <c r="I1" s="321"/>
      <c r="J1" s="321"/>
      <c r="K1" s="321"/>
      <c r="L1" s="321"/>
      <c r="M1" s="321"/>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6" t="s">
        <v>387</v>
      </c>
      <c r="B5" s="7">
        <v>51764000</v>
      </c>
      <c r="C5" s="7">
        <v>36346000</v>
      </c>
      <c r="D5" s="7">
        <v>27666000</v>
      </c>
      <c r="E5" s="7">
        <v>5237000</v>
      </c>
      <c r="F5" s="7">
        <v>3443000</v>
      </c>
      <c r="G5" s="7">
        <v>9978000</v>
      </c>
      <c r="H5" s="7">
        <v>3342000</v>
      </c>
      <c r="I5" s="7">
        <v>6637000</v>
      </c>
      <c r="J5" s="7">
        <v>5439000</v>
      </c>
      <c r="K5" s="7">
        <v>2114000</v>
      </c>
      <c r="L5" s="7">
        <v>3325000</v>
      </c>
    </row>
    <row r="6" spans="1:13" ht="12.45" customHeight="1">
      <c r="A6" s="8" t="s">
        <v>282</v>
      </c>
      <c r="B6" s="9">
        <v>26493000</v>
      </c>
      <c r="C6" s="9">
        <v>16957000</v>
      </c>
      <c r="D6" s="9">
        <v>11757000</v>
      </c>
      <c r="E6" s="9">
        <v>3448000</v>
      </c>
      <c r="F6" s="9">
        <v>1751000</v>
      </c>
      <c r="G6" s="9">
        <v>6863000</v>
      </c>
      <c r="H6" s="9">
        <v>1899000</v>
      </c>
      <c r="I6" s="9">
        <v>4964000</v>
      </c>
      <c r="J6" s="9">
        <v>2674000</v>
      </c>
      <c r="K6" s="9">
        <v>885000</v>
      </c>
      <c r="L6" s="9">
        <v>1789000</v>
      </c>
    </row>
    <row r="7" spans="1:13" ht="12.45" customHeight="1">
      <c r="A7" s="8" t="s">
        <v>283</v>
      </c>
      <c r="B7" s="9">
        <v>25271000</v>
      </c>
      <c r="C7" s="9">
        <v>19390000</v>
      </c>
      <c r="D7" s="9">
        <v>15909000</v>
      </c>
      <c r="E7" s="9">
        <v>1789000</v>
      </c>
      <c r="F7" s="9">
        <v>1692000</v>
      </c>
      <c r="G7" s="9">
        <v>3116000</v>
      </c>
      <c r="H7" s="9">
        <v>1443000</v>
      </c>
      <c r="I7" s="9">
        <v>1673000</v>
      </c>
      <c r="J7" s="9">
        <v>2765000</v>
      </c>
      <c r="K7" s="9">
        <v>1229000</v>
      </c>
      <c r="L7" s="9">
        <v>1536000</v>
      </c>
    </row>
    <row r="8" spans="1:13" ht="12.45" customHeight="1">
      <c r="A8" s="8" t="s">
        <v>265</v>
      </c>
      <c r="B8" s="9">
        <v>5307000</v>
      </c>
      <c r="C8" s="9">
        <v>3392000</v>
      </c>
      <c r="D8" s="9">
        <v>2668000</v>
      </c>
      <c r="E8" s="9">
        <v>452000</v>
      </c>
      <c r="F8" s="9">
        <v>273000</v>
      </c>
      <c r="G8" s="9">
        <v>1176000</v>
      </c>
      <c r="H8" s="9">
        <v>343000</v>
      </c>
      <c r="I8" s="9">
        <v>833000</v>
      </c>
      <c r="J8" s="9">
        <v>739000</v>
      </c>
      <c r="K8" s="9">
        <v>283000</v>
      </c>
      <c r="L8" s="9">
        <v>456000</v>
      </c>
    </row>
    <row r="9" spans="1:13" ht="12.45" customHeight="1">
      <c r="A9" s="8" t="s">
        <v>266</v>
      </c>
      <c r="B9" s="53"/>
      <c r="C9" s="53"/>
      <c r="D9" s="53"/>
      <c r="E9" s="53"/>
      <c r="F9" s="53"/>
      <c r="G9" s="53"/>
      <c r="H9" s="53"/>
      <c r="I9" s="53"/>
      <c r="J9" s="53"/>
      <c r="K9" s="53"/>
      <c r="L9" s="53"/>
    </row>
    <row r="10" spans="1:13" ht="12.45" customHeight="1">
      <c r="A10" s="10" t="s">
        <v>270</v>
      </c>
      <c r="B10" s="9">
        <v>126000</v>
      </c>
      <c r="C10" s="9">
        <v>76000</v>
      </c>
      <c r="D10" s="9">
        <v>59000</v>
      </c>
      <c r="E10" s="9">
        <v>12000</v>
      </c>
      <c r="F10" s="9">
        <v>5000</v>
      </c>
      <c r="G10" s="9">
        <v>23000</v>
      </c>
      <c r="H10" s="9">
        <v>3000</v>
      </c>
      <c r="I10" s="9">
        <v>20000</v>
      </c>
      <c r="J10" s="9">
        <v>28000</v>
      </c>
      <c r="K10" s="9">
        <v>2000</v>
      </c>
      <c r="L10" s="9">
        <v>26000</v>
      </c>
    </row>
    <row r="11" spans="1:13" ht="12.45" customHeight="1">
      <c r="A11" s="10" t="s">
        <v>271</v>
      </c>
      <c r="B11" s="9">
        <v>5475000</v>
      </c>
      <c r="C11" s="9">
        <v>4278000</v>
      </c>
      <c r="D11" s="9">
        <v>3590000</v>
      </c>
      <c r="E11" s="9">
        <v>425000</v>
      </c>
      <c r="F11" s="9">
        <v>263000</v>
      </c>
      <c r="G11" s="9">
        <v>728000</v>
      </c>
      <c r="H11" s="9">
        <v>493000</v>
      </c>
      <c r="I11" s="9">
        <v>235000</v>
      </c>
      <c r="J11" s="9">
        <v>469000</v>
      </c>
      <c r="K11" s="9">
        <v>167000</v>
      </c>
      <c r="L11" s="9">
        <v>303000</v>
      </c>
    </row>
    <row r="12" spans="1:13" ht="12.45" customHeight="1">
      <c r="A12" s="10" t="s">
        <v>272</v>
      </c>
      <c r="B12" s="9">
        <v>4109000</v>
      </c>
      <c r="C12" s="9">
        <v>2467000</v>
      </c>
      <c r="D12" s="9">
        <v>1755000</v>
      </c>
      <c r="E12" s="9">
        <v>563000</v>
      </c>
      <c r="F12" s="9">
        <v>148000</v>
      </c>
      <c r="G12" s="9">
        <v>838000</v>
      </c>
      <c r="H12" s="9">
        <v>241000</v>
      </c>
      <c r="I12" s="9">
        <v>597000</v>
      </c>
      <c r="J12" s="9">
        <v>804000</v>
      </c>
      <c r="K12" s="9">
        <v>334000</v>
      </c>
      <c r="L12" s="9">
        <v>471000</v>
      </c>
    </row>
    <row r="13" spans="1:13" ht="12.45" customHeight="1">
      <c r="A13" s="10" t="s">
        <v>273</v>
      </c>
      <c r="B13" s="9">
        <v>136000</v>
      </c>
      <c r="C13" s="9">
        <v>86000</v>
      </c>
      <c r="D13" s="9">
        <v>60000</v>
      </c>
      <c r="E13" s="9">
        <v>22000</v>
      </c>
      <c r="F13" s="13" t="s">
        <v>191</v>
      </c>
      <c r="G13" s="9">
        <v>13000</v>
      </c>
      <c r="H13" s="9">
        <v>9000</v>
      </c>
      <c r="I13" s="9">
        <v>4000</v>
      </c>
      <c r="J13" s="9">
        <v>37000</v>
      </c>
      <c r="K13" s="9">
        <v>9000</v>
      </c>
      <c r="L13" s="9">
        <v>28000</v>
      </c>
    </row>
    <row r="14" spans="1:13" ht="12.45" customHeight="1">
      <c r="A14" s="10" t="s">
        <v>274</v>
      </c>
      <c r="B14" s="9">
        <v>35373000</v>
      </c>
      <c r="C14" s="9">
        <v>25160000</v>
      </c>
      <c r="D14" s="9">
        <v>18870000</v>
      </c>
      <c r="E14" s="9">
        <v>3652000</v>
      </c>
      <c r="F14" s="9">
        <v>2638000</v>
      </c>
      <c r="G14" s="9">
        <v>6986000</v>
      </c>
      <c r="H14" s="9">
        <v>2190000</v>
      </c>
      <c r="I14" s="9">
        <v>4797000</v>
      </c>
      <c r="J14" s="9">
        <v>3226000</v>
      </c>
      <c r="K14" s="9">
        <v>1267000</v>
      </c>
      <c r="L14" s="9">
        <v>1959000</v>
      </c>
    </row>
    <row r="15" spans="1:13" ht="12.45" customHeight="1">
      <c r="A15" s="10" t="s">
        <v>275</v>
      </c>
      <c r="B15" s="9">
        <v>1238000</v>
      </c>
      <c r="C15" s="9">
        <v>888000</v>
      </c>
      <c r="D15" s="9">
        <v>665000</v>
      </c>
      <c r="E15" s="9">
        <v>110000</v>
      </c>
      <c r="F15" s="9">
        <v>113000</v>
      </c>
      <c r="G15" s="9">
        <v>214000</v>
      </c>
      <c r="H15" s="9">
        <v>63000</v>
      </c>
      <c r="I15" s="9">
        <v>151000</v>
      </c>
      <c r="J15" s="9">
        <v>136000</v>
      </c>
      <c r="K15" s="9">
        <v>53000</v>
      </c>
      <c r="L15" s="9">
        <v>82000</v>
      </c>
    </row>
    <row r="16" spans="1:13" ht="12.45" customHeight="1">
      <c r="A16" s="8" t="s">
        <v>267</v>
      </c>
      <c r="B16" s="9">
        <v>45426000</v>
      </c>
      <c r="C16" s="9">
        <v>31835000</v>
      </c>
      <c r="D16" s="9">
        <v>24256000</v>
      </c>
      <c r="E16" s="9">
        <v>4726000</v>
      </c>
      <c r="F16" s="9">
        <v>2852000</v>
      </c>
      <c r="G16" s="9">
        <v>8906000</v>
      </c>
      <c r="H16" s="9">
        <v>2979000</v>
      </c>
      <c r="I16" s="9">
        <v>5928000</v>
      </c>
      <c r="J16" s="9">
        <v>4685000</v>
      </c>
      <c r="K16" s="9">
        <v>1751000</v>
      </c>
      <c r="L16" s="9">
        <v>2934000</v>
      </c>
    </row>
    <row r="17" spans="1:12" ht="12.45" customHeight="1">
      <c r="A17" s="8" t="s">
        <v>268</v>
      </c>
      <c r="B17" s="9">
        <v>6338000</v>
      </c>
      <c r="C17" s="9">
        <v>4512000</v>
      </c>
      <c r="D17" s="9">
        <v>3410000</v>
      </c>
      <c r="E17" s="9">
        <v>511000</v>
      </c>
      <c r="F17" s="9">
        <v>591000</v>
      </c>
      <c r="G17" s="9">
        <v>1072000</v>
      </c>
      <c r="H17" s="9">
        <v>363000</v>
      </c>
      <c r="I17" s="9">
        <v>709000</v>
      </c>
      <c r="J17" s="9">
        <v>754000</v>
      </c>
      <c r="K17" s="9">
        <v>364000</v>
      </c>
      <c r="L17" s="9">
        <v>390000</v>
      </c>
    </row>
    <row r="18" spans="1:12" ht="12.45" customHeight="1">
      <c r="A18" s="8" t="s">
        <v>174</v>
      </c>
      <c r="B18" s="9">
        <v>7894000</v>
      </c>
      <c r="C18" s="9">
        <v>5804000</v>
      </c>
      <c r="D18" s="9">
        <v>5219000</v>
      </c>
      <c r="E18" s="9">
        <v>368000</v>
      </c>
      <c r="F18" s="9">
        <v>217000</v>
      </c>
      <c r="G18" s="9">
        <v>1254000</v>
      </c>
      <c r="H18" s="9">
        <v>1047000</v>
      </c>
      <c r="I18" s="9">
        <v>206000</v>
      </c>
      <c r="J18" s="9">
        <v>836000</v>
      </c>
      <c r="K18" s="9">
        <v>449000</v>
      </c>
      <c r="L18" s="9">
        <v>387000</v>
      </c>
    </row>
    <row r="19" spans="1:12" ht="12.45" customHeight="1">
      <c r="A19" s="10" t="s">
        <v>282</v>
      </c>
      <c r="B19" s="9">
        <v>2300000</v>
      </c>
      <c r="C19" s="9">
        <v>1445000</v>
      </c>
      <c r="D19" s="9">
        <v>1221000</v>
      </c>
      <c r="E19" s="9">
        <v>153000</v>
      </c>
      <c r="F19" s="9">
        <v>71000</v>
      </c>
      <c r="G19" s="9">
        <v>551000</v>
      </c>
      <c r="H19" s="9">
        <v>437000</v>
      </c>
      <c r="I19" s="9">
        <v>114000</v>
      </c>
      <c r="J19" s="9">
        <v>304000</v>
      </c>
      <c r="K19" s="9">
        <v>150000</v>
      </c>
      <c r="L19" s="9">
        <v>153000</v>
      </c>
    </row>
    <row r="20" spans="1:12" ht="12.45" customHeight="1">
      <c r="A20" s="10" t="s">
        <v>283</v>
      </c>
      <c r="B20" s="9">
        <v>5594000</v>
      </c>
      <c r="C20" s="9">
        <v>4358000</v>
      </c>
      <c r="D20" s="9">
        <v>3998000</v>
      </c>
      <c r="E20" s="9">
        <v>214000</v>
      </c>
      <c r="F20" s="9">
        <v>146000</v>
      </c>
      <c r="G20" s="9">
        <v>702000</v>
      </c>
      <c r="H20" s="9">
        <v>610000</v>
      </c>
      <c r="I20" s="9">
        <v>92000</v>
      </c>
      <c r="J20" s="9">
        <v>533000</v>
      </c>
      <c r="K20" s="9">
        <v>299000</v>
      </c>
      <c r="L20" s="9">
        <v>234000</v>
      </c>
    </row>
    <row r="21" spans="1:12" ht="12.45" customHeight="1">
      <c r="A21" s="10" t="s">
        <v>265</v>
      </c>
      <c r="B21" s="9">
        <v>692000</v>
      </c>
      <c r="C21" s="9">
        <v>460000</v>
      </c>
      <c r="D21" s="9">
        <v>411000</v>
      </c>
      <c r="E21" s="9">
        <v>29000</v>
      </c>
      <c r="F21" s="9">
        <v>20000</v>
      </c>
      <c r="G21" s="9">
        <v>130000</v>
      </c>
      <c r="H21" s="9">
        <v>101000</v>
      </c>
      <c r="I21" s="9">
        <v>29000</v>
      </c>
      <c r="J21" s="9">
        <v>102000</v>
      </c>
      <c r="K21" s="9">
        <v>41000</v>
      </c>
      <c r="L21" s="9">
        <v>61000</v>
      </c>
    </row>
    <row r="22" spans="1:12" ht="12.45" customHeight="1">
      <c r="A22" s="10" t="s">
        <v>266</v>
      </c>
      <c r="B22" s="53"/>
      <c r="C22" s="53"/>
      <c r="D22" s="53"/>
      <c r="E22" s="53"/>
      <c r="F22" s="53"/>
      <c r="G22" s="53"/>
      <c r="H22" s="53"/>
      <c r="I22" s="53"/>
      <c r="J22" s="53"/>
      <c r="K22" s="53"/>
      <c r="L22" s="53"/>
    </row>
    <row r="23" spans="1:12" ht="12.45" customHeight="1">
      <c r="A23" s="12" t="s">
        <v>270</v>
      </c>
      <c r="B23" s="9">
        <v>10000</v>
      </c>
      <c r="C23" s="9">
        <v>8000</v>
      </c>
      <c r="D23" s="9">
        <v>7000</v>
      </c>
      <c r="E23" s="13" t="s">
        <v>191</v>
      </c>
      <c r="F23" s="13" t="s">
        <v>220</v>
      </c>
      <c r="G23" s="9">
        <v>1000</v>
      </c>
      <c r="H23" s="13" t="s">
        <v>222</v>
      </c>
      <c r="I23" s="13" t="s">
        <v>191</v>
      </c>
      <c r="J23" s="9">
        <v>1000</v>
      </c>
      <c r="K23" s="13" t="s">
        <v>220</v>
      </c>
      <c r="L23" s="13" t="s">
        <v>222</v>
      </c>
    </row>
    <row r="24" spans="1:12" ht="12.45" customHeight="1">
      <c r="A24" s="12" t="s">
        <v>271</v>
      </c>
      <c r="B24" s="9">
        <v>1665000</v>
      </c>
      <c r="C24" s="9">
        <v>1310000</v>
      </c>
      <c r="D24" s="9">
        <v>1236000</v>
      </c>
      <c r="E24" s="9">
        <v>53000</v>
      </c>
      <c r="F24" s="9">
        <v>21000</v>
      </c>
      <c r="G24" s="9">
        <v>257000</v>
      </c>
      <c r="H24" s="9">
        <v>244000</v>
      </c>
      <c r="I24" s="9">
        <v>13000</v>
      </c>
      <c r="J24" s="9">
        <v>98000</v>
      </c>
      <c r="K24" s="9">
        <v>49000</v>
      </c>
      <c r="L24" s="9">
        <v>49000</v>
      </c>
    </row>
    <row r="25" spans="1:12" ht="12.45" customHeight="1">
      <c r="A25" s="12" t="s">
        <v>272</v>
      </c>
      <c r="B25" s="9">
        <v>399000</v>
      </c>
      <c r="C25" s="9">
        <v>273000</v>
      </c>
      <c r="D25" s="9">
        <v>246000</v>
      </c>
      <c r="E25" s="9">
        <v>21000</v>
      </c>
      <c r="F25" s="9">
        <v>7000</v>
      </c>
      <c r="G25" s="9">
        <v>60000</v>
      </c>
      <c r="H25" s="9">
        <v>46000</v>
      </c>
      <c r="I25" s="9">
        <v>14000</v>
      </c>
      <c r="J25" s="9">
        <v>66000</v>
      </c>
      <c r="K25" s="9">
        <v>46000</v>
      </c>
      <c r="L25" s="9">
        <v>20000</v>
      </c>
    </row>
    <row r="26" spans="1:12" ht="12.45" customHeight="1">
      <c r="A26" s="12" t="s">
        <v>273</v>
      </c>
      <c r="B26" s="9">
        <v>16000</v>
      </c>
      <c r="C26" s="9">
        <v>12000</v>
      </c>
      <c r="D26" s="9">
        <v>10000</v>
      </c>
      <c r="E26" s="13" t="s">
        <v>220</v>
      </c>
      <c r="F26" s="13" t="s">
        <v>220</v>
      </c>
      <c r="G26" s="9">
        <v>2000</v>
      </c>
      <c r="H26" s="9">
        <v>2000</v>
      </c>
      <c r="I26" s="13" t="s">
        <v>220</v>
      </c>
      <c r="J26" s="9">
        <v>2000</v>
      </c>
      <c r="K26" s="13" t="s">
        <v>191</v>
      </c>
      <c r="L26" s="13" t="s">
        <v>191</v>
      </c>
    </row>
    <row r="27" spans="1:12" ht="12.45" customHeight="1">
      <c r="A27" s="12" t="s">
        <v>274</v>
      </c>
      <c r="B27" s="9">
        <v>4943000</v>
      </c>
      <c r="C27" s="9">
        <v>3622000</v>
      </c>
      <c r="D27" s="9">
        <v>3199000</v>
      </c>
      <c r="E27" s="9">
        <v>256000</v>
      </c>
      <c r="F27" s="9">
        <v>167000</v>
      </c>
      <c r="G27" s="9">
        <v>771000</v>
      </c>
      <c r="H27" s="9">
        <v>637000</v>
      </c>
      <c r="I27" s="9">
        <v>134000</v>
      </c>
      <c r="J27" s="9">
        <v>550000</v>
      </c>
      <c r="K27" s="9">
        <v>302000</v>
      </c>
      <c r="L27" s="9">
        <v>248000</v>
      </c>
    </row>
    <row r="28" spans="1:12" ht="12.45" customHeight="1">
      <c r="A28" s="12" t="s">
        <v>275</v>
      </c>
      <c r="B28" s="9">
        <v>169000</v>
      </c>
      <c r="C28" s="9">
        <v>119000</v>
      </c>
      <c r="D28" s="9">
        <v>110000</v>
      </c>
      <c r="E28" s="9">
        <v>8000</v>
      </c>
      <c r="F28" s="9">
        <v>2000</v>
      </c>
      <c r="G28" s="9">
        <v>33000</v>
      </c>
      <c r="H28" s="9">
        <v>18000</v>
      </c>
      <c r="I28" s="13" t="s">
        <v>191</v>
      </c>
      <c r="J28" s="9">
        <v>17000</v>
      </c>
      <c r="K28" s="9">
        <v>9000</v>
      </c>
      <c r="L28" s="9">
        <v>8000</v>
      </c>
    </row>
    <row r="29" spans="1:12" ht="12.45" customHeight="1">
      <c r="A29" s="10" t="s">
        <v>267</v>
      </c>
      <c r="B29" s="9">
        <v>7006000</v>
      </c>
      <c r="C29" s="9">
        <v>5187000</v>
      </c>
      <c r="D29" s="9">
        <v>4660000</v>
      </c>
      <c r="E29" s="9">
        <v>335000</v>
      </c>
      <c r="F29" s="9">
        <v>192000</v>
      </c>
      <c r="G29" s="9">
        <v>1115000</v>
      </c>
      <c r="H29" s="9">
        <v>929000</v>
      </c>
      <c r="I29" s="9">
        <v>186000</v>
      </c>
      <c r="J29" s="9">
        <v>703000</v>
      </c>
      <c r="K29" s="9">
        <v>383000</v>
      </c>
      <c r="L29" s="9">
        <v>320000</v>
      </c>
    </row>
    <row r="30" spans="1:12" ht="12.45" customHeight="1">
      <c r="A30" s="10" t="s">
        <v>268</v>
      </c>
      <c r="B30" s="9">
        <v>888000</v>
      </c>
      <c r="C30" s="9">
        <v>616000</v>
      </c>
      <c r="D30" s="9">
        <v>559000</v>
      </c>
      <c r="E30" s="9">
        <v>33000</v>
      </c>
      <c r="F30" s="9">
        <v>25000</v>
      </c>
      <c r="G30" s="9">
        <v>138000</v>
      </c>
      <c r="H30" s="9">
        <v>118000</v>
      </c>
      <c r="I30" s="9">
        <v>20000</v>
      </c>
      <c r="J30" s="9">
        <v>133000</v>
      </c>
      <c r="K30" s="9">
        <v>66000</v>
      </c>
      <c r="L30" s="9">
        <v>67000</v>
      </c>
    </row>
    <row r="31" spans="1:12" ht="12.45" customHeight="1">
      <c r="A31" s="10" t="s">
        <v>227</v>
      </c>
      <c r="B31" s="9">
        <v>794000</v>
      </c>
      <c r="C31" s="9">
        <v>345000</v>
      </c>
      <c r="D31" s="9">
        <v>269000</v>
      </c>
      <c r="E31" s="9">
        <v>59000</v>
      </c>
      <c r="F31" s="9">
        <v>17000</v>
      </c>
      <c r="G31" s="9">
        <v>323000</v>
      </c>
      <c r="H31" s="9">
        <v>298000</v>
      </c>
      <c r="I31" s="9">
        <v>25000</v>
      </c>
      <c r="J31" s="9">
        <v>126000</v>
      </c>
      <c r="K31" s="9">
        <v>64000</v>
      </c>
      <c r="L31" s="9">
        <v>62000</v>
      </c>
    </row>
    <row r="32" spans="1:12" ht="12.45" customHeight="1">
      <c r="A32" s="12" t="s">
        <v>282</v>
      </c>
      <c r="B32" s="9">
        <v>367000</v>
      </c>
      <c r="C32" s="9">
        <v>157000</v>
      </c>
      <c r="D32" s="9">
        <v>124000</v>
      </c>
      <c r="E32" s="9">
        <v>28000</v>
      </c>
      <c r="F32" s="9">
        <v>5000</v>
      </c>
      <c r="G32" s="9">
        <v>148000</v>
      </c>
      <c r="H32" s="9">
        <v>136000</v>
      </c>
      <c r="I32" s="9">
        <v>12000</v>
      </c>
      <c r="J32" s="9">
        <v>63000</v>
      </c>
      <c r="K32" s="9">
        <v>32000</v>
      </c>
      <c r="L32" s="9">
        <v>30000</v>
      </c>
    </row>
    <row r="33" spans="1:12" ht="12.45" customHeight="1">
      <c r="A33" s="12" t="s">
        <v>283</v>
      </c>
      <c r="B33" s="9">
        <v>427000</v>
      </c>
      <c r="C33" s="9">
        <v>188000</v>
      </c>
      <c r="D33" s="9">
        <v>145000</v>
      </c>
      <c r="E33" s="9">
        <v>31000</v>
      </c>
      <c r="F33" s="9">
        <v>13000</v>
      </c>
      <c r="G33" s="9">
        <v>175000</v>
      </c>
      <c r="H33" s="9">
        <v>162000</v>
      </c>
      <c r="I33" s="9">
        <v>14000</v>
      </c>
      <c r="J33" s="9">
        <v>63000</v>
      </c>
      <c r="K33" s="9">
        <v>32000</v>
      </c>
      <c r="L33" s="9">
        <v>31000</v>
      </c>
    </row>
    <row r="34" spans="1:12" ht="12.45" customHeight="1">
      <c r="A34" s="12" t="s">
        <v>265</v>
      </c>
      <c r="B34" s="9">
        <v>72000</v>
      </c>
      <c r="C34" s="9">
        <v>31000</v>
      </c>
      <c r="D34" s="9">
        <v>24000</v>
      </c>
      <c r="E34" s="9">
        <v>4000</v>
      </c>
      <c r="F34" s="13" t="s">
        <v>220</v>
      </c>
      <c r="G34" s="9">
        <v>30000</v>
      </c>
      <c r="H34" s="9">
        <v>29000</v>
      </c>
      <c r="I34" s="9">
        <v>1000</v>
      </c>
      <c r="J34" s="9">
        <v>12000</v>
      </c>
      <c r="K34" s="9">
        <v>4000</v>
      </c>
      <c r="L34" s="9">
        <v>9000</v>
      </c>
    </row>
    <row r="35" spans="1:12" ht="12.45" customHeight="1">
      <c r="A35" s="12" t="s">
        <v>266</v>
      </c>
      <c r="B35" s="53"/>
      <c r="C35" s="53"/>
      <c r="D35" s="53"/>
      <c r="E35" s="53"/>
      <c r="F35" s="53"/>
      <c r="G35" s="53"/>
      <c r="H35" s="53"/>
      <c r="I35" s="53"/>
      <c r="J35" s="53"/>
      <c r="K35" s="53"/>
      <c r="L35" s="53"/>
    </row>
    <row r="36" spans="1:12" ht="12.45" customHeight="1">
      <c r="A36" s="15" t="s">
        <v>270</v>
      </c>
      <c r="B36" s="9">
        <v>2000</v>
      </c>
      <c r="C36" s="13" t="s">
        <v>191</v>
      </c>
      <c r="D36" s="13" t="s">
        <v>220</v>
      </c>
      <c r="E36" s="13" t="s">
        <v>220</v>
      </c>
      <c r="F36" s="13" t="s">
        <v>220</v>
      </c>
      <c r="G36" s="13" t="s">
        <v>220</v>
      </c>
      <c r="H36" s="13" t="s">
        <v>220</v>
      </c>
      <c r="I36" s="13" t="s">
        <v>220</v>
      </c>
      <c r="J36" s="13" t="s">
        <v>220</v>
      </c>
      <c r="K36" s="13" t="s">
        <v>220</v>
      </c>
      <c r="L36" s="13" t="s">
        <v>220</v>
      </c>
    </row>
    <row r="37" spans="1:12" ht="12.45" customHeight="1">
      <c r="A37" s="15" t="s">
        <v>271</v>
      </c>
      <c r="B37" s="9">
        <v>167000</v>
      </c>
      <c r="C37" s="9">
        <v>76000</v>
      </c>
      <c r="D37" s="9">
        <v>63000</v>
      </c>
      <c r="E37" s="9">
        <v>10000</v>
      </c>
      <c r="F37" s="9">
        <v>3000</v>
      </c>
      <c r="G37" s="9">
        <v>77000</v>
      </c>
      <c r="H37" s="9">
        <v>76000</v>
      </c>
      <c r="I37" s="13" t="s">
        <v>191</v>
      </c>
      <c r="J37" s="9">
        <v>14000</v>
      </c>
      <c r="K37" s="9">
        <v>11000</v>
      </c>
      <c r="L37" s="9">
        <v>3000</v>
      </c>
    </row>
    <row r="38" spans="1:12" ht="12.45" customHeight="1">
      <c r="A38" s="15" t="s">
        <v>272</v>
      </c>
      <c r="B38" s="9">
        <v>32000</v>
      </c>
      <c r="C38" s="9">
        <v>15000</v>
      </c>
      <c r="D38" s="9">
        <v>11000</v>
      </c>
      <c r="E38" s="13" t="s">
        <v>191</v>
      </c>
      <c r="F38" s="13" t="s">
        <v>220</v>
      </c>
      <c r="G38" s="9">
        <v>13000</v>
      </c>
      <c r="H38" s="9">
        <v>13000</v>
      </c>
      <c r="I38" s="13" t="s">
        <v>220</v>
      </c>
      <c r="J38" s="9">
        <v>3000</v>
      </c>
      <c r="K38" s="13" t="s">
        <v>191</v>
      </c>
      <c r="L38" s="9">
        <v>2000</v>
      </c>
    </row>
    <row r="39" spans="1:12" ht="12.45" customHeight="1">
      <c r="A39" s="15" t="s">
        <v>273</v>
      </c>
      <c r="B39" s="9">
        <v>1000</v>
      </c>
      <c r="C39" s="13" t="s">
        <v>220</v>
      </c>
      <c r="D39" s="13" t="s">
        <v>220</v>
      </c>
      <c r="E39" s="13" t="s">
        <v>220</v>
      </c>
      <c r="F39" s="13" t="s">
        <v>220</v>
      </c>
      <c r="G39" s="13" t="s">
        <v>220</v>
      </c>
      <c r="H39" s="13" t="s">
        <v>220</v>
      </c>
      <c r="I39" s="13" t="s">
        <v>220</v>
      </c>
      <c r="J39" s="13" t="s">
        <v>220</v>
      </c>
      <c r="K39" s="13" t="s">
        <v>220</v>
      </c>
      <c r="L39" s="13" t="s">
        <v>220</v>
      </c>
    </row>
  </sheetData>
  <mergeCells count="6">
    <mergeCell ref="A1:M1"/>
    <mergeCell ref="A3:A4"/>
    <mergeCell ref="B3:B4"/>
    <mergeCell ref="C3:F3"/>
    <mergeCell ref="G3:I3"/>
    <mergeCell ref="J3:L3"/>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0.249977111117893"/>
  </sheetPr>
  <dimension ref="A1:M39"/>
  <sheetViews>
    <sheetView workbookViewId="0">
      <selection sqref="A1:M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1" t="s">
        <v>382</v>
      </c>
      <c r="B1" s="321"/>
      <c r="C1" s="321"/>
      <c r="D1" s="321"/>
      <c r="E1" s="321"/>
      <c r="F1" s="321"/>
      <c r="G1" s="321"/>
      <c r="H1" s="321"/>
      <c r="I1" s="321"/>
      <c r="J1" s="321"/>
      <c r="K1" s="321"/>
      <c r="L1" s="321"/>
      <c r="M1" s="321"/>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30" t="s">
        <v>274</v>
      </c>
      <c r="B5" s="7">
        <v>501000</v>
      </c>
      <c r="C5" s="7">
        <v>217000</v>
      </c>
      <c r="D5" s="7">
        <v>167000</v>
      </c>
      <c r="E5" s="7">
        <v>38000</v>
      </c>
      <c r="F5" s="7">
        <v>12000</v>
      </c>
      <c r="G5" s="7">
        <v>189000</v>
      </c>
      <c r="H5" s="7">
        <v>174000</v>
      </c>
      <c r="I5" s="7">
        <v>16000</v>
      </c>
      <c r="J5" s="7">
        <v>95000</v>
      </c>
      <c r="K5" s="7">
        <v>47000</v>
      </c>
      <c r="L5" s="7">
        <v>48000</v>
      </c>
    </row>
    <row r="6" spans="1:13" ht="12.45" customHeight="1">
      <c r="A6" s="15" t="s">
        <v>275</v>
      </c>
      <c r="B6" s="9">
        <v>19000</v>
      </c>
      <c r="C6" s="9">
        <v>6000</v>
      </c>
      <c r="D6" s="9">
        <v>3000</v>
      </c>
      <c r="E6" s="13" t="s">
        <v>191</v>
      </c>
      <c r="F6" s="13" t="s">
        <v>220</v>
      </c>
      <c r="G6" s="13" t="s">
        <v>191</v>
      </c>
      <c r="H6" s="9">
        <v>6000</v>
      </c>
      <c r="I6" s="13" t="s">
        <v>220</v>
      </c>
      <c r="J6" s="9">
        <v>1000</v>
      </c>
      <c r="K6" s="9">
        <v>1000</v>
      </c>
      <c r="L6" s="13" t="s">
        <v>222</v>
      </c>
    </row>
    <row r="7" spans="1:13" ht="12.45" customHeight="1">
      <c r="A7" s="12" t="s">
        <v>267</v>
      </c>
      <c r="B7" s="9">
        <v>708000</v>
      </c>
      <c r="C7" s="9">
        <v>312000</v>
      </c>
      <c r="D7" s="9">
        <v>242000</v>
      </c>
      <c r="E7" s="9">
        <v>56000</v>
      </c>
      <c r="F7" s="9">
        <v>14000</v>
      </c>
      <c r="G7" s="9">
        <v>284000</v>
      </c>
      <c r="H7" s="9">
        <v>262000</v>
      </c>
      <c r="I7" s="9">
        <v>23000</v>
      </c>
      <c r="J7" s="9">
        <v>112000</v>
      </c>
      <c r="K7" s="9">
        <v>60000</v>
      </c>
      <c r="L7" s="9">
        <v>52000</v>
      </c>
    </row>
    <row r="8" spans="1:13" ht="12.45" customHeight="1">
      <c r="A8" s="12" t="s">
        <v>268</v>
      </c>
      <c r="B8" s="9">
        <v>86000</v>
      </c>
      <c r="C8" s="9">
        <v>33000</v>
      </c>
      <c r="D8" s="9">
        <v>27000</v>
      </c>
      <c r="E8" s="9">
        <v>3000</v>
      </c>
      <c r="F8" s="9">
        <v>4000</v>
      </c>
      <c r="G8" s="9">
        <v>39000</v>
      </c>
      <c r="H8" s="9">
        <v>36000</v>
      </c>
      <c r="I8" s="9">
        <v>2000</v>
      </c>
      <c r="J8" s="9">
        <v>14000</v>
      </c>
      <c r="K8" s="9">
        <v>4000</v>
      </c>
      <c r="L8" s="9">
        <v>9000</v>
      </c>
    </row>
    <row r="9" spans="1:13" ht="12.45" customHeight="1">
      <c r="A9" s="10" t="s">
        <v>228</v>
      </c>
      <c r="B9" s="9">
        <v>4031000</v>
      </c>
      <c r="C9" s="9">
        <v>3432000</v>
      </c>
      <c r="D9" s="9">
        <v>3128000</v>
      </c>
      <c r="E9" s="9">
        <v>209000</v>
      </c>
      <c r="F9" s="9">
        <v>95000</v>
      </c>
      <c r="G9" s="9">
        <v>331000</v>
      </c>
      <c r="H9" s="9">
        <v>236000</v>
      </c>
      <c r="I9" s="9">
        <v>95000</v>
      </c>
      <c r="J9" s="9">
        <v>268000</v>
      </c>
      <c r="K9" s="9">
        <v>149000</v>
      </c>
      <c r="L9" s="9">
        <v>119000</v>
      </c>
    </row>
    <row r="10" spans="1:13" ht="12.45" customHeight="1">
      <c r="A10" s="12" t="s">
        <v>282</v>
      </c>
      <c r="B10" s="9">
        <v>1053000</v>
      </c>
      <c r="C10" s="9">
        <v>843000</v>
      </c>
      <c r="D10" s="9">
        <v>740000</v>
      </c>
      <c r="E10" s="9">
        <v>80000</v>
      </c>
      <c r="F10" s="9">
        <v>22000</v>
      </c>
      <c r="G10" s="9">
        <v>116000</v>
      </c>
      <c r="H10" s="9">
        <v>74000</v>
      </c>
      <c r="I10" s="9">
        <v>41000</v>
      </c>
      <c r="J10" s="9">
        <v>95000</v>
      </c>
      <c r="K10" s="9">
        <v>52000</v>
      </c>
      <c r="L10" s="9">
        <v>43000</v>
      </c>
    </row>
    <row r="11" spans="1:13" ht="12.45" customHeight="1">
      <c r="A11" s="12" t="s">
        <v>283</v>
      </c>
      <c r="B11" s="9">
        <v>2979000</v>
      </c>
      <c r="C11" s="9">
        <v>2590000</v>
      </c>
      <c r="D11" s="9">
        <v>2388000</v>
      </c>
      <c r="E11" s="9">
        <v>129000</v>
      </c>
      <c r="F11" s="9">
        <v>73000</v>
      </c>
      <c r="G11" s="9">
        <v>215000</v>
      </c>
      <c r="H11" s="9">
        <v>162000</v>
      </c>
      <c r="I11" s="9">
        <v>54000</v>
      </c>
      <c r="J11" s="9">
        <v>173000</v>
      </c>
      <c r="K11" s="9">
        <v>98000</v>
      </c>
      <c r="L11" s="9">
        <v>76000</v>
      </c>
    </row>
    <row r="12" spans="1:13" ht="12.45" customHeight="1">
      <c r="A12" s="12" t="s">
        <v>265</v>
      </c>
      <c r="B12" s="9">
        <v>328000</v>
      </c>
      <c r="C12" s="9">
        <v>260000</v>
      </c>
      <c r="D12" s="9">
        <v>236000</v>
      </c>
      <c r="E12" s="9">
        <v>16000</v>
      </c>
      <c r="F12" s="9">
        <v>8000</v>
      </c>
      <c r="G12" s="9">
        <v>39000</v>
      </c>
      <c r="H12" s="9">
        <v>20000</v>
      </c>
      <c r="I12" s="9">
        <v>19000</v>
      </c>
      <c r="J12" s="9">
        <v>29000</v>
      </c>
      <c r="K12" s="9">
        <v>14000</v>
      </c>
      <c r="L12" s="9">
        <v>15000</v>
      </c>
    </row>
    <row r="13" spans="1:13" ht="12.45" customHeight="1">
      <c r="A13" s="12" t="s">
        <v>266</v>
      </c>
      <c r="B13" s="53"/>
      <c r="C13" s="53"/>
      <c r="D13" s="53"/>
      <c r="E13" s="53"/>
      <c r="F13" s="53"/>
      <c r="G13" s="53"/>
      <c r="H13" s="53"/>
      <c r="I13" s="53"/>
      <c r="J13" s="53"/>
      <c r="K13" s="53"/>
      <c r="L13" s="53"/>
    </row>
    <row r="14" spans="1:13" ht="12.45" customHeight="1">
      <c r="A14" s="15" t="s">
        <v>270</v>
      </c>
      <c r="B14" s="9">
        <v>5000</v>
      </c>
      <c r="C14" s="9">
        <v>5000</v>
      </c>
      <c r="D14" s="9">
        <v>5000</v>
      </c>
      <c r="E14" s="13" t="s">
        <v>220</v>
      </c>
      <c r="F14" s="13" t="s">
        <v>220</v>
      </c>
      <c r="G14" s="13" t="s">
        <v>220</v>
      </c>
      <c r="H14" s="13" t="s">
        <v>220</v>
      </c>
      <c r="I14" s="13" t="s">
        <v>220</v>
      </c>
      <c r="J14" s="13" t="s">
        <v>220</v>
      </c>
      <c r="K14" s="13" t="s">
        <v>220</v>
      </c>
      <c r="L14" s="13" t="s">
        <v>220</v>
      </c>
    </row>
    <row r="15" spans="1:13" ht="12.45" customHeight="1">
      <c r="A15" s="15" t="s">
        <v>271</v>
      </c>
      <c r="B15" s="9">
        <v>1064000</v>
      </c>
      <c r="C15" s="9">
        <v>949000</v>
      </c>
      <c r="D15" s="9">
        <v>903000</v>
      </c>
      <c r="E15" s="9">
        <v>32000</v>
      </c>
      <c r="F15" s="9">
        <v>14000</v>
      </c>
      <c r="G15" s="9">
        <v>72000</v>
      </c>
      <c r="H15" s="9">
        <v>65000</v>
      </c>
      <c r="I15" s="9">
        <v>7000</v>
      </c>
      <c r="J15" s="9">
        <v>43000</v>
      </c>
      <c r="K15" s="9">
        <v>20000</v>
      </c>
      <c r="L15" s="9">
        <v>23000</v>
      </c>
    </row>
    <row r="16" spans="1:13" ht="12.45" customHeight="1">
      <c r="A16" s="15" t="s">
        <v>272</v>
      </c>
      <c r="B16" s="9">
        <v>242000</v>
      </c>
      <c r="C16" s="9">
        <v>191000</v>
      </c>
      <c r="D16" s="9">
        <v>172000</v>
      </c>
      <c r="E16" s="9">
        <v>14000</v>
      </c>
      <c r="F16" s="13" t="s">
        <v>191</v>
      </c>
      <c r="G16" s="9">
        <v>18000</v>
      </c>
      <c r="H16" s="9">
        <v>10000</v>
      </c>
      <c r="I16" s="9">
        <v>8000</v>
      </c>
      <c r="J16" s="9">
        <v>33000</v>
      </c>
      <c r="K16" s="9">
        <v>25000</v>
      </c>
      <c r="L16" s="9">
        <v>9000</v>
      </c>
    </row>
    <row r="17" spans="1:12" ht="12.45" customHeight="1">
      <c r="A17" s="45" t="s">
        <v>273</v>
      </c>
      <c r="B17" s="9">
        <v>6000</v>
      </c>
      <c r="C17" s="9">
        <v>6000</v>
      </c>
      <c r="D17" s="9">
        <v>6000</v>
      </c>
      <c r="E17" s="13" t="s">
        <v>220</v>
      </c>
      <c r="F17" s="13" t="s">
        <v>220</v>
      </c>
      <c r="G17" s="13" t="s">
        <v>220</v>
      </c>
      <c r="H17" s="13" t="s">
        <v>220</v>
      </c>
      <c r="I17" s="13" t="s">
        <v>220</v>
      </c>
      <c r="J17" s="13" t="s">
        <v>220</v>
      </c>
      <c r="K17" s="13" t="s">
        <v>220</v>
      </c>
      <c r="L17" s="13" t="s">
        <v>220</v>
      </c>
    </row>
    <row r="18" spans="1:12" ht="12.45" customHeight="1">
      <c r="A18" s="15" t="s">
        <v>274</v>
      </c>
      <c r="B18" s="9">
        <v>2296000</v>
      </c>
      <c r="C18" s="9">
        <v>1944000</v>
      </c>
      <c r="D18" s="9">
        <v>1732000</v>
      </c>
      <c r="E18" s="9">
        <v>144000</v>
      </c>
      <c r="F18" s="9">
        <v>68000</v>
      </c>
      <c r="G18" s="9">
        <v>196000</v>
      </c>
      <c r="H18" s="9">
        <v>138000</v>
      </c>
      <c r="I18" s="9">
        <v>58000</v>
      </c>
      <c r="J18" s="9">
        <v>156000</v>
      </c>
      <c r="K18" s="9">
        <v>88000</v>
      </c>
      <c r="L18" s="9">
        <v>68000</v>
      </c>
    </row>
    <row r="19" spans="1:12" ht="12.45" customHeight="1">
      <c r="A19" s="15" t="s">
        <v>275</v>
      </c>
      <c r="B19" s="9">
        <v>89000</v>
      </c>
      <c r="C19" s="9">
        <v>78000</v>
      </c>
      <c r="D19" s="9">
        <v>75000</v>
      </c>
      <c r="E19" s="9">
        <v>3000</v>
      </c>
      <c r="F19" s="13" t="s">
        <v>220</v>
      </c>
      <c r="G19" s="9">
        <v>6000</v>
      </c>
      <c r="H19" s="9">
        <v>3000</v>
      </c>
      <c r="I19" s="13" t="s">
        <v>191</v>
      </c>
      <c r="J19" s="9">
        <v>5000</v>
      </c>
      <c r="K19" s="9">
        <v>2000</v>
      </c>
      <c r="L19" s="9">
        <v>3000</v>
      </c>
    </row>
    <row r="20" spans="1:12" ht="12.45" customHeight="1">
      <c r="A20" s="12" t="s">
        <v>267</v>
      </c>
      <c r="B20" s="9">
        <v>3558000</v>
      </c>
      <c r="C20" s="9">
        <v>3050000</v>
      </c>
      <c r="D20" s="9">
        <v>2776000</v>
      </c>
      <c r="E20" s="9">
        <v>188000</v>
      </c>
      <c r="F20" s="9">
        <v>86000</v>
      </c>
      <c r="G20" s="9">
        <v>294000</v>
      </c>
      <c r="H20" s="9">
        <v>207000</v>
      </c>
      <c r="I20" s="9">
        <v>87000</v>
      </c>
      <c r="J20" s="9">
        <v>215000</v>
      </c>
      <c r="K20" s="9">
        <v>117000</v>
      </c>
      <c r="L20" s="9">
        <v>98000</v>
      </c>
    </row>
    <row r="21" spans="1:12" ht="12.45" customHeight="1">
      <c r="A21" s="12" t="s">
        <v>268</v>
      </c>
      <c r="B21" s="9">
        <v>473000</v>
      </c>
      <c r="C21" s="9">
        <v>383000</v>
      </c>
      <c r="D21" s="9">
        <v>352000</v>
      </c>
      <c r="E21" s="9">
        <v>22000</v>
      </c>
      <c r="F21" s="9">
        <v>8000</v>
      </c>
      <c r="G21" s="9">
        <v>37000</v>
      </c>
      <c r="H21" s="9">
        <v>28000</v>
      </c>
      <c r="I21" s="9">
        <v>9000</v>
      </c>
      <c r="J21" s="9">
        <v>53000</v>
      </c>
      <c r="K21" s="9">
        <v>32000</v>
      </c>
      <c r="L21" s="9">
        <v>22000</v>
      </c>
    </row>
    <row r="22" spans="1:12" ht="12.45" customHeight="1">
      <c r="A22" s="10" t="s">
        <v>229</v>
      </c>
      <c r="B22" s="9">
        <v>408000</v>
      </c>
      <c r="C22" s="9">
        <v>169000</v>
      </c>
      <c r="D22" s="9">
        <v>150000</v>
      </c>
      <c r="E22" s="9">
        <v>9000</v>
      </c>
      <c r="F22" s="9">
        <v>10000</v>
      </c>
      <c r="G22" s="9">
        <v>140000</v>
      </c>
      <c r="H22" s="9">
        <v>130000</v>
      </c>
      <c r="I22" s="9">
        <v>10000</v>
      </c>
      <c r="J22" s="9">
        <v>99000</v>
      </c>
      <c r="K22" s="9">
        <v>50000</v>
      </c>
      <c r="L22" s="9">
        <v>49000</v>
      </c>
    </row>
    <row r="23" spans="1:12" ht="12.45" customHeight="1">
      <c r="A23" s="12" t="s">
        <v>282</v>
      </c>
      <c r="B23" s="9">
        <v>135000</v>
      </c>
      <c r="C23" s="9">
        <v>55000</v>
      </c>
      <c r="D23" s="9">
        <v>51000</v>
      </c>
      <c r="E23" s="9">
        <v>3000</v>
      </c>
      <c r="F23" s="9">
        <v>1000</v>
      </c>
      <c r="G23" s="9">
        <v>45000</v>
      </c>
      <c r="H23" s="9">
        <v>38000</v>
      </c>
      <c r="I23" s="13" t="s">
        <v>191</v>
      </c>
      <c r="J23" s="9">
        <v>36000</v>
      </c>
      <c r="K23" s="9">
        <v>13000</v>
      </c>
      <c r="L23" s="9">
        <v>22000</v>
      </c>
    </row>
    <row r="24" spans="1:12" ht="12.45" customHeight="1">
      <c r="A24" s="12" t="s">
        <v>283</v>
      </c>
      <c r="B24" s="9">
        <v>273000</v>
      </c>
      <c r="C24" s="9">
        <v>114000</v>
      </c>
      <c r="D24" s="9">
        <v>99000</v>
      </c>
      <c r="E24" s="9">
        <v>6000</v>
      </c>
      <c r="F24" s="9">
        <v>9000</v>
      </c>
      <c r="G24" s="9">
        <v>95000</v>
      </c>
      <c r="H24" s="9">
        <v>92000</v>
      </c>
      <c r="I24" s="9">
        <v>4000</v>
      </c>
      <c r="J24" s="9">
        <v>63000</v>
      </c>
      <c r="K24" s="9">
        <v>36000</v>
      </c>
      <c r="L24" s="9">
        <v>27000</v>
      </c>
    </row>
    <row r="25" spans="1:12" ht="12.45" customHeight="1">
      <c r="A25" s="12" t="s">
        <v>265</v>
      </c>
      <c r="B25" s="9">
        <v>32000</v>
      </c>
      <c r="C25" s="9">
        <v>9000</v>
      </c>
      <c r="D25" s="9">
        <v>9000</v>
      </c>
      <c r="E25" s="13" t="s">
        <v>222</v>
      </c>
      <c r="F25" s="13" t="s">
        <v>220</v>
      </c>
      <c r="G25" s="9">
        <v>17000</v>
      </c>
      <c r="H25" s="9">
        <v>15000</v>
      </c>
      <c r="I25" s="13" t="s">
        <v>191</v>
      </c>
      <c r="J25" s="9">
        <v>7000</v>
      </c>
      <c r="K25" s="9">
        <v>3000</v>
      </c>
      <c r="L25" s="9">
        <v>4000</v>
      </c>
    </row>
    <row r="26" spans="1:12" ht="12.45" customHeight="1">
      <c r="A26" s="12" t="s">
        <v>266</v>
      </c>
      <c r="B26" s="53"/>
      <c r="C26" s="53"/>
      <c r="D26" s="53"/>
      <c r="E26" s="53"/>
      <c r="F26" s="53"/>
      <c r="G26" s="53"/>
      <c r="H26" s="53"/>
      <c r="I26" s="53"/>
      <c r="J26" s="53"/>
      <c r="K26" s="53"/>
      <c r="L26" s="53"/>
    </row>
    <row r="27" spans="1:12" ht="12.45" customHeight="1">
      <c r="A27" s="15" t="s">
        <v>270</v>
      </c>
      <c r="B27" s="9">
        <v>1000</v>
      </c>
      <c r="C27" s="13" t="s">
        <v>222</v>
      </c>
      <c r="D27" s="13" t="s">
        <v>222</v>
      </c>
      <c r="E27" s="13" t="s">
        <v>220</v>
      </c>
      <c r="F27" s="13" t="s">
        <v>220</v>
      </c>
      <c r="G27" s="13" t="s">
        <v>220</v>
      </c>
      <c r="H27" s="13" t="s">
        <v>220</v>
      </c>
      <c r="I27" s="13" t="s">
        <v>220</v>
      </c>
      <c r="J27" s="13" t="s">
        <v>220</v>
      </c>
      <c r="K27" s="13" t="s">
        <v>220</v>
      </c>
      <c r="L27" s="13" t="s">
        <v>220</v>
      </c>
    </row>
    <row r="28" spans="1:12" ht="12.45" customHeight="1">
      <c r="A28" s="15" t="s">
        <v>271</v>
      </c>
      <c r="B28" s="9">
        <v>61000</v>
      </c>
      <c r="C28" s="9">
        <v>16000</v>
      </c>
      <c r="D28" s="9">
        <v>15000</v>
      </c>
      <c r="E28" s="9">
        <v>1000</v>
      </c>
      <c r="F28" s="13" t="s">
        <v>220</v>
      </c>
      <c r="G28" s="9">
        <v>39000</v>
      </c>
      <c r="H28" s="9">
        <v>39000</v>
      </c>
      <c r="I28" s="9">
        <v>1000</v>
      </c>
      <c r="J28" s="9">
        <v>6000</v>
      </c>
      <c r="K28" s="9">
        <v>3000</v>
      </c>
      <c r="L28" s="9">
        <v>3000</v>
      </c>
    </row>
    <row r="29" spans="1:12" ht="12.45" customHeight="1">
      <c r="A29" s="15" t="s">
        <v>272</v>
      </c>
      <c r="B29" s="9">
        <v>16000</v>
      </c>
      <c r="C29" s="9">
        <v>5000</v>
      </c>
      <c r="D29" s="9">
        <v>5000</v>
      </c>
      <c r="E29" s="13" t="s">
        <v>220</v>
      </c>
      <c r="F29" s="13" t="s">
        <v>220</v>
      </c>
      <c r="G29" s="9">
        <v>5000</v>
      </c>
      <c r="H29" s="9">
        <v>4000</v>
      </c>
      <c r="I29" s="13" t="s">
        <v>220</v>
      </c>
      <c r="J29" s="9">
        <v>6000</v>
      </c>
      <c r="K29" s="13" t="s">
        <v>191</v>
      </c>
      <c r="L29" s="9">
        <v>1000</v>
      </c>
    </row>
    <row r="30" spans="1:12" ht="12.45" customHeight="1">
      <c r="A30" s="45" t="s">
        <v>273</v>
      </c>
      <c r="B30" s="13" t="s">
        <v>191</v>
      </c>
      <c r="C30" s="13" t="s">
        <v>222</v>
      </c>
      <c r="D30" s="13" t="s">
        <v>222</v>
      </c>
      <c r="E30" s="13" t="s">
        <v>220</v>
      </c>
      <c r="F30" s="13" t="s">
        <v>220</v>
      </c>
      <c r="G30" s="13" t="s">
        <v>220</v>
      </c>
      <c r="H30" s="13" t="s">
        <v>220</v>
      </c>
      <c r="I30" s="13" t="s">
        <v>220</v>
      </c>
      <c r="J30" s="13" t="s">
        <v>220</v>
      </c>
      <c r="K30" s="13" t="s">
        <v>220</v>
      </c>
      <c r="L30" s="13" t="s">
        <v>220</v>
      </c>
    </row>
    <row r="31" spans="1:12" ht="12.45" customHeight="1">
      <c r="A31" s="15" t="s">
        <v>274</v>
      </c>
      <c r="B31" s="9">
        <v>288000</v>
      </c>
      <c r="C31" s="9">
        <v>134000</v>
      </c>
      <c r="D31" s="9">
        <v>117000</v>
      </c>
      <c r="E31" s="9">
        <v>7000</v>
      </c>
      <c r="F31" s="9">
        <v>10000</v>
      </c>
      <c r="G31" s="9">
        <v>77000</v>
      </c>
      <c r="H31" s="9">
        <v>70000</v>
      </c>
      <c r="I31" s="9">
        <v>7000</v>
      </c>
      <c r="J31" s="9">
        <v>77000</v>
      </c>
      <c r="K31" s="9">
        <v>37000</v>
      </c>
      <c r="L31" s="9">
        <v>39000</v>
      </c>
    </row>
    <row r="32" spans="1:12" ht="12.45" customHeight="1">
      <c r="A32" s="15" t="s">
        <v>275</v>
      </c>
      <c r="B32" s="9">
        <v>9000</v>
      </c>
      <c r="C32" s="9">
        <v>4000</v>
      </c>
      <c r="D32" s="9">
        <v>4000</v>
      </c>
      <c r="E32" s="13" t="s">
        <v>220</v>
      </c>
      <c r="F32" s="13" t="s">
        <v>220</v>
      </c>
      <c r="G32" s="9">
        <v>2000</v>
      </c>
      <c r="H32" s="9">
        <v>2000</v>
      </c>
      <c r="I32" s="13" t="s">
        <v>220</v>
      </c>
      <c r="J32" s="9">
        <v>3000</v>
      </c>
      <c r="K32" s="9">
        <v>1000</v>
      </c>
      <c r="L32" s="9">
        <v>2000</v>
      </c>
    </row>
    <row r="33" spans="1:12" ht="12.45" customHeight="1">
      <c r="A33" s="12" t="s">
        <v>267</v>
      </c>
      <c r="B33" s="9">
        <v>358000</v>
      </c>
      <c r="C33" s="9">
        <v>152000</v>
      </c>
      <c r="D33" s="9">
        <v>133000</v>
      </c>
      <c r="E33" s="9">
        <v>9000</v>
      </c>
      <c r="F33" s="9">
        <v>10000</v>
      </c>
      <c r="G33" s="9">
        <v>125000</v>
      </c>
      <c r="H33" s="9">
        <v>118000</v>
      </c>
      <c r="I33" s="9">
        <v>8000</v>
      </c>
      <c r="J33" s="9">
        <v>81000</v>
      </c>
      <c r="K33" s="9">
        <v>45000</v>
      </c>
      <c r="L33" s="9">
        <v>37000</v>
      </c>
    </row>
    <row r="34" spans="1:12" ht="12.45" customHeight="1">
      <c r="A34" s="12" t="s">
        <v>268</v>
      </c>
      <c r="B34" s="9">
        <v>50000</v>
      </c>
      <c r="C34" s="9">
        <v>17000</v>
      </c>
      <c r="D34" s="9">
        <v>17000</v>
      </c>
      <c r="E34" s="13" t="s">
        <v>220</v>
      </c>
      <c r="F34" s="13" t="s">
        <v>220</v>
      </c>
      <c r="G34" s="9">
        <v>15000</v>
      </c>
      <c r="H34" s="9">
        <v>13000</v>
      </c>
      <c r="I34" s="9">
        <v>2000</v>
      </c>
      <c r="J34" s="9">
        <v>17000</v>
      </c>
      <c r="K34" s="9">
        <v>5000</v>
      </c>
      <c r="L34" s="9">
        <v>12000</v>
      </c>
    </row>
    <row r="35" spans="1:12" ht="12.45" customHeight="1">
      <c r="A35" s="10" t="s">
        <v>230</v>
      </c>
      <c r="B35" s="9">
        <v>712000</v>
      </c>
      <c r="C35" s="9">
        <v>257000</v>
      </c>
      <c r="D35" s="9">
        <v>142000</v>
      </c>
      <c r="E35" s="9">
        <v>61000</v>
      </c>
      <c r="F35" s="9">
        <v>55000</v>
      </c>
      <c r="G35" s="9">
        <v>341000</v>
      </c>
      <c r="H35" s="9">
        <v>270000</v>
      </c>
      <c r="I35" s="9">
        <v>71000</v>
      </c>
      <c r="J35" s="9">
        <v>114000</v>
      </c>
      <c r="K35" s="9">
        <v>54000</v>
      </c>
      <c r="L35" s="9">
        <v>60000</v>
      </c>
    </row>
    <row r="36" spans="1:12" ht="12.45" customHeight="1">
      <c r="A36" s="12" t="s">
        <v>282</v>
      </c>
      <c r="B36" s="9">
        <v>433000</v>
      </c>
      <c r="C36" s="9">
        <v>150000</v>
      </c>
      <c r="D36" s="9">
        <v>78000</v>
      </c>
      <c r="E36" s="9">
        <v>37000</v>
      </c>
      <c r="F36" s="9">
        <v>35000</v>
      </c>
      <c r="G36" s="9">
        <v>217000</v>
      </c>
      <c r="H36" s="9">
        <v>163000</v>
      </c>
      <c r="I36" s="9">
        <v>53000</v>
      </c>
      <c r="J36" s="9">
        <v>66000</v>
      </c>
      <c r="K36" s="9">
        <v>28000</v>
      </c>
      <c r="L36" s="9">
        <v>38000</v>
      </c>
    </row>
    <row r="37" spans="1:12" ht="12.45" customHeight="1">
      <c r="A37" s="12" t="s">
        <v>283</v>
      </c>
      <c r="B37" s="9">
        <v>279000</v>
      </c>
      <c r="C37" s="9">
        <v>107000</v>
      </c>
      <c r="D37" s="9">
        <v>64000</v>
      </c>
      <c r="E37" s="9">
        <v>24000</v>
      </c>
      <c r="F37" s="9">
        <v>19000</v>
      </c>
      <c r="G37" s="9">
        <v>124000</v>
      </c>
      <c r="H37" s="9">
        <v>106000</v>
      </c>
      <c r="I37" s="9">
        <v>18000</v>
      </c>
      <c r="J37" s="9">
        <v>48000</v>
      </c>
      <c r="K37" s="9">
        <v>26000</v>
      </c>
      <c r="L37" s="9">
        <v>22000</v>
      </c>
    </row>
    <row r="38" spans="1:12" ht="12.45" customHeight="1">
      <c r="A38" s="12" t="s">
        <v>265</v>
      </c>
      <c r="B38" s="9">
        <v>81000</v>
      </c>
      <c r="C38" s="9">
        <v>21000</v>
      </c>
      <c r="D38" s="9">
        <v>9000</v>
      </c>
      <c r="E38" s="9">
        <v>6000</v>
      </c>
      <c r="F38" s="9">
        <v>6000</v>
      </c>
      <c r="G38" s="9">
        <v>34000</v>
      </c>
      <c r="H38" s="9">
        <v>27000</v>
      </c>
      <c r="I38" s="9">
        <v>8000</v>
      </c>
      <c r="J38" s="9">
        <v>25000</v>
      </c>
      <c r="K38" s="9">
        <v>4000</v>
      </c>
      <c r="L38" s="9">
        <v>21000</v>
      </c>
    </row>
    <row r="39" spans="1:12" ht="12.45" customHeight="1">
      <c r="A39" s="12" t="s">
        <v>266</v>
      </c>
      <c r="B39" s="53"/>
      <c r="C39" s="53"/>
      <c r="D39" s="53"/>
      <c r="E39" s="53"/>
      <c r="F39" s="53"/>
      <c r="G39" s="53"/>
      <c r="H39" s="53"/>
      <c r="I39" s="53"/>
      <c r="J39" s="53"/>
      <c r="K39" s="53"/>
      <c r="L39" s="53"/>
    </row>
  </sheetData>
  <mergeCells count="6">
    <mergeCell ref="A1:M1"/>
    <mergeCell ref="A3:A4"/>
    <mergeCell ref="B3:B4"/>
    <mergeCell ref="C3:F3"/>
    <mergeCell ref="G3:I3"/>
    <mergeCell ref="J3:L3"/>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249977111117893"/>
  </sheetPr>
  <dimension ref="A1:M39"/>
  <sheetViews>
    <sheetView workbookViewId="0">
      <selection sqref="A1:N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39" customHeight="1">
      <c r="A1" s="321" t="s">
        <v>382</v>
      </c>
      <c r="B1" s="321"/>
      <c r="C1" s="321"/>
      <c r="D1" s="321"/>
      <c r="E1" s="321"/>
      <c r="F1" s="321"/>
      <c r="G1" s="321"/>
      <c r="H1" s="321"/>
      <c r="I1" s="321"/>
      <c r="J1" s="321"/>
      <c r="K1" s="321"/>
      <c r="L1" s="321"/>
      <c r="M1" s="321"/>
    </row>
    <row r="2" spans="1:13" ht="1.95" customHeight="1"/>
    <row r="3" spans="1:13" ht="13.95" customHeight="1">
      <c r="A3" s="339" t="s">
        <v>383</v>
      </c>
      <c r="B3" s="345" t="s">
        <v>167</v>
      </c>
      <c r="C3" s="330" t="s">
        <v>252</v>
      </c>
      <c r="D3" s="331"/>
      <c r="E3" s="331"/>
      <c r="F3" s="332"/>
      <c r="G3" s="330" t="s">
        <v>253</v>
      </c>
      <c r="H3" s="331"/>
      <c r="I3" s="332"/>
      <c r="J3" s="330" t="s">
        <v>254</v>
      </c>
      <c r="K3" s="331"/>
      <c r="L3" s="332"/>
    </row>
    <row r="4" spans="1:13" ht="16.2" customHeight="1">
      <c r="A4" s="341"/>
      <c r="B4" s="346"/>
      <c r="C4" s="41" t="s">
        <v>384</v>
      </c>
      <c r="D4" s="41" t="s">
        <v>255</v>
      </c>
      <c r="E4" s="41" t="s">
        <v>256</v>
      </c>
      <c r="F4" s="41" t="s">
        <v>257</v>
      </c>
      <c r="G4" s="5" t="s">
        <v>385</v>
      </c>
      <c r="H4" s="43" t="s">
        <v>258</v>
      </c>
      <c r="I4" s="44" t="s">
        <v>259</v>
      </c>
      <c r="J4" s="41" t="s">
        <v>386</v>
      </c>
      <c r="K4" s="41" t="s">
        <v>260</v>
      </c>
      <c r="L4" s="41" t="s">
        <v>261</v>
      </c>
    </row>
    <row r="5" spans="1:13" ht="12.45" customHeight="1">
      <c r="A5" s="30" t="s">
        <v>270</v>
      </c>
      <c r="B5" s="7">
        <v>1000</v>
      </c>
      <c r="C5" s="19" t="s">
        <v>222</v>
      </c>
      <c r="D5" s="19" t="s">
        <v>220</v>
      </c>
      <c r="E5" s="19" t="s">
        <v>220</v>
      </c>
      <c r="F5" s="19" t="s">
        <v>220</v>
      </c>
      <c r="G5" s="19" t="s">
        <v>220</v>
      </c>
      <c r="H5" s="19" t="s">
        <v>220</v>
      </c>
      <c r="I5" s="19" t="s">
        <v>220</v>
      </c>
      <c r="J5" s="19" t="s">
        <v>220</v>
      </c>
      <c r="K5" s="19" t="s">
        <v>220</v>
      </c>
      <c r="L5" s="19" t="s">
        <v>220</v>
      </c>
    </row>
    <row r="6" spans="1:13" ht="12.45" customHeight="1">
      <c r="A6" s="15" t="s">
        <v>271</v>
      </c>
      <c r="B6" s="9">
        <v>57000</v>
      </c>
      <c r="C6" s="9">
        <v>18000</v>
      </c>
      <c r="D6" s="9">
        <v>13000</v>
      </c>
      <c r="E6" s="9">
        <v>4000</v>
      </c>
      <c r="F6" s="9">
        <v>2000</v>
      </c>
      <c r="G6" s="9">
        <v>34000</v>
      </c>
      <c r="H6" s="9">
        <v>31000</v>
      </c>
      <c r="I6" s="9">
        <v>3000</v>
      </c>
      <c r="J6" s="9">
        <v>4000</v>
      </c>
      <c r="K6" s="9">
        <v>2000</v>
      </c>
      <c r="L6" s="9">
        <v>2000</v>
      </c>
    </row>
    <row r="7" spans="1:13" ht="12.45" customHeight="1">
      <c r="A7" s="15" t="s">
        <v>272</v>
      </c>
      <c r="B7" s="9">
        <v>44000</v>
      </c>
      <c r="C7" s="9">
        <v>14000</v>
      </c>
      <c r="D7" s="9">
        <v>11000</v>
      </c>
      <c r="E7" s="9">
        <v>2000</v>
      </c>
      <c r="F7" s="9">
        <v>1000</v>
      </c>
      <c r="G7" s="9">
        <v>21000</v>
      </c>
      <c r="H7" s="9">
        <v>16000</v>
      </c>
      <c r="I7" s="9">
        <v>5000</v>
      </c>
      <c r="J7" s="9">
        <v>9000</v>
      </c>
      <c r="K7" s="9">
        <v>6000</v>
      </c>
      <c r="L7" s="9">
        <v>4000</v>
      </c>
    </row>
    <row r="8" spans="1:13" ht="12.45" customHeight="1">
      <c r="A8" s="45" t="s">
        <v>273</v>
      </c>
      <c r="B8" s="13" t="s">
        <v>191</v>
      </c>
      <c r="C8" s="13" t="s">
        <v>220</v>
      </c>
      <c r="D8" s="13" t="s">
        <v>220</v>
      </c>
      <c r="E8" s="13" t="s">
        <v>220</v>
      </c>
      <c r="F8" s="13" t="s">
        <v>220</v>
      </c>
      <c r="G8" s="13" t="s">
        <v>191</v>
      </c>
      <c r="H8" s="13" t="s">
        <v>191</v>
      </c>
      <c r="I8" s="13" t="s">
        <v>220</v>
      </c>
      <c r="J8" s="13" t="s">
        <v>220</v>
      </c>
      <c r="K8" s="13" t="s">
        <v>220</v>
      </c>
      <c r="L8" s="13" t="s">
        <v>220</v>
      </c>
    </row>
    <row r="9" spans="1:13" ht="12.45" customHeight="1">
      <c r="A9" s="15" t="s">
        <v>274</v>
      </c>
      <c r="B9" s="9">
        <v>513000</v>
      </c>
      <c r="C9" s="9">
        <v>200000</v>
      </c>
      <c r="D9" s="9">
        <v>108000</v>
      </c>
      <c r="E9" s="9">
        <v>48000</v>
      </c>
      <c r="F9" s="9">
        <v>45000</v>
      </c>
      <c r="G9" s="9">
        <v>239000</v>
      </c>
      <c r="H9" s="9">
        <v>189000</v>
      </c>
      <c r="I9" s="9">
        <v>51000</v>
      </c>
      <c r="J9" s="9">
        <v>73000</v>
      </c>
      <c r="K9" s="9">
        <v>42000</v>
      </c>
      <c r="L9" s="9">
        <v>32000</v>
      </c>
    </row>
    <row r="10" spans="1:13" ht="12.45" customHeight="1">
      <c r="A10" s="15" t="s">
        <v>275</v>
      </c>
      <c r="B10" s="9">
        <v>16000</v>
      </c>
      <c r="C10" s="9">
        <v>3000</v>
      </c>
      <c r="D10" s="9">
        <v>2000</v>
      </c>
      <c r="E10" s="9">
        <v>1000</v>
      </c>
      <c r="F10" s="13" t="s">
        <v>220</v>
      </c>
      <c r="G10" s="9">
        <v>11000</v>
      </c>
      <c r="H10" s="9">
        <v>6000</v>
      </c>
      <c r="I10" s="13" t="s">
        <v>191</v>
      </c>
      <c r="J10" s="9">
        <v>2000</v>
      </c>
      <c r="K10" s="9">
        <v>1000</v>
      </c>
      <c r="L10" s="13" t="s">
        <v>191</v>
      </c>
    </row>
    <row r="11" spans="1:13" ht="12.45" customHeight="1">
      <c r="A11" s="12" t="s">
        <v>267</v>
      </c>
      <c r="B11" s="9">
        <v>623000</v>
      </c>
      <c r="C11" s="9">
        <v>229000</v>
      </c>
      <c r="D11" s="9">
        <v>126000</v>
      </c>
      <c r="E11" s="9">
        <v>54000</v>
      </c>
      <c r="F11" s="9">
        <v>48000</v>
      </c>
      <c r="G11" s="9">
        <v>300000</v>
      </c>
      <c r="H11" s="9">
        <v>236000</v>
      </c>
      <c r="I11" s="9">
        <v>64000</v>
      </c>
      <c r="J11" s="9">
        <v>94000</v>
      </c>
      <c r="K11" s="9">
        <v>45000</v>
      </c>
      <c r="L11" s="9">
        <v>49000</v>
      </c>
    </row>
    <row r="12" spans="1:13" ht="12.45" customHeight="1">
      <c r="A12" s="12" t="s">
        <v>268</v>
      </c>
      <c r="B12" s="9">
        <v>89000</v>
      </c>
      <c r="C12" s="9">
        <v>28000</v>
      </c>
      <c r="D12" s="9">
        <v>16000</v>
      </c>
      <c r="E12" s="9">
        <v>6000</v>
      </c>
      <c r="F12" s="9">
        <v>6000</v>
      </c>
      <c r="G12" s="9">
        <v>41000</v>
      </c>
      <c r="H12" s="9">
        <v>34000</v>
      </c>
      <c r="I12" s="9">
        <v>7000</v>
      </c>
      <c r="J12" s="9">
        <v>20000</v>
      </c>
      <c r="K12" s="9">
        <v>9000</v>
      </c>
      <c r="L12" s="9">
        <v>12000</v>
      </c>
    </row>
    <row r="13" spans="1:13" ht="12.45" customHeight="1">
      <c r="A13" s="10" t="s">
        <v>231</v>
      </c>
      <c r="B13" s="9">
        <v>1949000</v>
      </c>
      <c r="C13" s="9">
        <v>1600000</v>
      </c>
      <c r="D13" s="9">
        <v>1529000</v>
      </c>
      <c r="E13" s="9">
        <v>30000</v>
      </c>
      <c r="F13" s="9">
        <v>41000</v>
      </c>
      <c r="G13" s="9">
        <v>119000</v>
      </c>
      <c r="H13" s="9">
        <v>114000</v>
      </c>
      <c r="I13" s="9">
        <v>5000</v>
      </c>
      <c r="J13" s="9">
        <v>229000</v>
      </c>
      <c r="K13" s="9">
        <v>133000</v>
      </c>
      <c r="L13" s="9">
        <v>97000</v>
      </c>
    </row>
    <row r="14" spans="1:13" ht="12.45" customHeight="1">
      <c r="A14" s="12" t="s">
        <v>282</v>
      </c>
      <c r="B14" s="9">
        <v>312000</v>
      </c>
      <c r="C14" s="9">
        <v>242000</v>
      </c>
      <c r="D14" s="9">
        <v>228000</v>
      </c>
      <c r="E14" s="9">
        <v>6000</v>
      </c>
      <c r="F14" s="9">
        <v>8000</v>
      </c>
      <c r="G14" s="9">
        <v>27000</v>
      </c>
      <c r="H14" s="9">
        <v>25000</v>
      </c>
      <c r="I14" s="9">
        <v>1000</v>
      </c>
      <c r="J14" s="9">
        <v>44000</v>
      </c>
      <c r="K14" s="9">
        <v>25000</v>
      </c>
      <c r="L14" s="9">
        <v>19000</v>
      </c>
    </row>
    <row r="15" spans="1:13" ht="12.45" customHeight="1">
      <c r="A15" s="12" t="s">
        <v>283</v>
      </c>
      <c r="B15" s="9">
        <v>1636000</v>
      </c>
      <c r="C15" s="9">
        <v>1359000</v>
      </c>
      <c r="D15" s="9">
        <v>1301000</v>
      </c>
      <c r="E15" s="9">
        <v>25000</v>
      </c>
      <c r="F15" s="9">
        <v>33000</v>
      </c>
      <c r="G15" s="9">
        <v>92000</v>
      </c>
      <c r="H15" s="9">
        <v>88000</v>
      </c>
      <c r="I15" s="9">
        <v>4000</v>
      </c>
      <c r="J15" s="9">
        <v>185000</v>
      </c>
      <c r="K15" s="9">
        <v>107000</v>
      </c>
      <c r="L15" s="9">
        <v>78000</v>
      </c>
    </row>
    <row r="16" spans="1:13" ht="12.45" customHeight="1">
      <c r="A16" s="12" t="s">
        <v>265</v>
      </c>
      <c r="B16" s="9">
        <v>178000</v>
      </c>
      <c r="C16" s="9">
        <v>138000</v>
      </c>
      <c r="D16" s="9">
        <v>133000</v>
      </c>
      <c r="E16" s="9">
        <v>2000</v>
      </c>
      <c r="F16" s="9">
        <v>4000</v>
      </c>
      <c r="G16" s="9">
        <v>11000</v>
      </c>
      <c r="H16" s="9">
        <v>10000</v>
      </c>
      <c r="I16" s="13" t="s">
        <v>220</v>
      </c>
      <c r="J16" s="9">
        <v>29000</v>
      </c>
      <c r="K16" s="9">
        <v>17000</v>
      </c>
      <c r="L16" s="9">
        <v>12000</v>
      </c>
    </row>
    <row r="17" spans="1:12" ht="12.45" customHeight="1">
      <c r="A17" s="12" t="s">
        <v>266</v>
      </c>
      <c r="B17" s="53"/>
      <c r="C17" s="53"/>
      <c r="D17" s="53"/>
      <c r="E17" s="53"/>
      <c r="F17" s="53"/>
      <c r="G17" s="53"/>
      <c r="H17" s="53"/>
      <c r="I17" s="53"/>
      <c r="J17" s="53"/>
      <c r="K17" s="53"/>
      <c r="L17" s="53"/>
    </row>
    <row r="18" spans="1:12" ht="12.45" customHeight="1">
      <c r="A18" s="15" t="s">
        <v>270</v>
      </c>
      <c r="B18" s="9">
        <v>2000</v>
      </c>
      <c r="C18" s="9">
        <v>2000</v>
      </c>
      <c r="D18" s="9">
        <v>2000</v>
      </c>
      <c r="E18" s="13" t="s">
        <v>220</v>
      </c>
      <c r="F18" s="13" t="s">
        <v>220</v>
      </c>
      <c r="G18" s="13" t="s">
        <v>220</v>
      </c>
      <c r="H18" s="13" t="s">
        <v>220</v>
      </c>
      <c r="I18" s="13" t="s">
        <v>220</v>
      </c>
      <c r="J18" s="13" t="s">
        <v>220</v>
      </c>
      <c r="K18" s="13" t="s">
        <v>220</v>
      </c>
      <c r="L18" s="13" t="s">
        <v>220</v>
      </c>
    </row>
    <row r="19" spans="1:12" ht="12.45" customHeight="1">
      <c r="A19" s="15" t="s">
        <v>271</v>
      </c>
      <c r="B19" s="9">
        <v>316000</v>
      </c>
      <c r="C19" s="9">
        <v>251000</v>
      </c>
      <c r="D19" s="9">
        <v>242000</v>
      </c>
      <c r="E19" s="9">
        <v>7000</v>
      </c>
      <c r="F19" s="9">
        <v>2000</v>
      </c>
      <c r="G19" s="9">
        <v>34000</v>
      </c>
      <c r="H19" s="9">
        <v>33000</v>
      </c>
      <c r="I19" s="9">
        <v>1000</v>
      </c>
      <c r="J19" s="9">
        <v>31000</v>
      </c>
      <c r="K19" s="9">
        <v>13000</v>
      </c>
      <c r="L19" s="9">
        <v>18000</v>
      </c>
    </row>
    <row r="20" spans="1:12" ht="12.45" customHeight="1">
      <c r="A20" s="15" t="s">
        <v>272</v>
      </c>
      <c r="B20" s="9">
        <v>65000</v>
      </c>
      <c r="C20" s="9">
        <v>49000</v>
      </c>
      <c r="D20" s="9">
        <v>47000</v>
      </c>
      <c r="E20" s="13" t="s">
        <v>191</v>
      </c>
      <c r="F20" s="13" t="s">
        <v>191</v>
      </c>
      <c r="G20" s="9">
        <v>3000</v>
      </c>
      <c r="H20" s="9">
        <v>3000</v>
      </c>
      <c r="I20" s="13" t="s">
        <v>220</v>
      </c>
      <c r="J20" s="9">
        <v>13000</v>
      </c>
      <c r="K20" s="9">
        <v>9000</v>
      </c>
      <c r="L20" s="9">
        <v>4000</v>
      </c>
    </row>
    <row r="21" spans="1:12" ht="12.45" customHeight="1">
      <c r="A21" s="45" t="s">
        <v>273</v>
      </c>
      <c r="B21" s="9">
        <v>7000</v>
      </c>
      <c r="C21" s="9">
        <v>5000</v>
      </c>
      <c r="D21" s="9">
        <v>4000</v>
      </c>
      <c r="E21" s="13" t="s">
        <v>220</v>
      </c>
      <c r="F21" s="13" t="s">
        <v>220</v>
      </c>
      <c r="G21" s="13" t="s">
        <v>220</v>
      </c>
      <c r="H21" s="13" t="s">
        <v>220</v>
      </c>
      <c r="I21" s="13" t="s">
        <v>220</v>
      </c>
      <c r="J21" s="13" t="s">
        <v>220</v>
      </c>
      <c r="K21" s="13" t="s">
        <v>220</v>
      </c>
      <c r="L21" s="13" t="s">
        <v>220</v>
      </c>
    </row>
    <row r="22" spans="1:12" ht="12.45" customHeight="1">
      <c r="A22" s="15" t="s">
        <v>274</v>
      </c>
      <c r="B22" s="9">
        <v>1345000</v>
      </c>
      <c r="C22" s="9">
        <v>1127000</v>
      </c>
      <c r="D22" s="9">
        <v>1075000</v>
      </c>
      <c r="E22" s="9">
        <v>19000</v>
      </c>
      <c r="F22" s="9">
        <v>33000</v>
      </c>
      <c r="G22" s="9">
        <v>69000</v>
      </c>
      <c r="H22" s="9">
        <v>65000</v>
      </c>
      <c r="I22" s="9">
        <v>3000</v>
      </c>
      <c r="J22" s="9">
        <v>149000</v>
      </c>
      <c r="K22" s="9">
        <v>89000</v>
      </c>
      <c r="L22" s="9">
        <v>60000</v>
      </c>
    </row>
    <row r="23" spans="1:12" ht="12.45" customHeight="1">
      <c r="A23" s="15" t="s">
        <v>275</v>
      </c>
      <c r="B23" s="9">
        <v>36000</v>
      </c>
      <c r="C23" s="9">
        <v>28000</v>
      </c>
      <c r="D23" s="9">
        <v>26000</v>
      </c>
      <c r="E23" s="13" t="s">
        <v>220</v>
      </c>
      <c r="F23" s="13" t="s">
        <v>220</v>
      </c>
      <c r="G23" s="9">
        <v>2000</v>
      </c>
      <c r="H23" s="9">
        <v>2000</v>
      </c>
      <c r="I23" s="13" t="s">
        <v>220</v>
      </c>
      <c r="J23" s="9">
        <v>6000</v>
      </c>
      <c r="K23" s="9">
        <v>4000</v>
      </c>
      <c r="L23" s="9">
        <v>1000</v>
      </c>
    </row>
    <row r="24" spans="1:12" ht="12.45" customHeight="1">
      <c r="A24" s="12" t="s">
        <v>267</v>
      </c>
      <c r="B24" s="9">
        <v>1758000</v>
      </c>
      <c r="C24" s="9">
        <v>1446000</v>
      </c>
      <c r="D24" s="9">
        <v>1383000</v>
      </c>
      <c r="E24" s="9">
        <v>29000</v>
      </c>
      <c r="F24" s="9">
        <v>34000</v>
      </c>
      <c r="G24" s="9">
        <v>112000</v>
      </c>
      <c r="H24" s="9">
        <v>107000</v>
      </c>
      <c r="I24" s="9">
        <v>5000</v>
      </c>
      <c r="J24" s="9">
        <v>201000</v>
      </c>
      <c r="K24" s="9">
        <v>116000</v>
      </c>
      <c r="L24" s="9">
        <v>85000</v>
      </c>
    </row>
    <row r="25" spans="1:12" ht="12.45" customHeight="1">
      <c r="A25" s="12" t="s">
        <v>268</v>
      </c>
      <c r="B25" s="9">
        <v>191000</v>
      </c>
      <c r="C25" s="9">
        <v>155000</v>
      </c>
      <c r="D25" s="9">
        <v>147000</v>
      </c>
      <c r="E25" s="9">
        <v>2000</v>
      </c>
      <c r="F25" s="9">
        <v>7000</v>
      </c>
      <c r="G25" s="9">
        <v>7000</v>
      </c>
      <c r="H25" s="9">
        <v>7000</v>
      </c>
      <c r="I25" s="13" t="s">
        <v>220</v>
      </c>
      <c r="J25" s="9">
        <v>29000</v>
      </c>
      <c r="K25" s="9">
        <v>17000</v>
      </c>
      <c r="L25" s="9">
        <v>12000</v>
      </c>
    </row>
    <row r="26" spans="1:12" ht="12.45" customHeight="1">
      <c r="A26" s="8" t="s">
        <v>175</v>
      </c>
      <c r="B26" s="9">
        <v>9522000</v>
      </c>
      <c r="C26" s="9">
        <v>6903000</v>
      </c>
      <c r="D26" s="9">
        <v>4558000</v>
      </c>
      <c r="E26" s="9">
        <v>1948000</v>
      </c>
      <c r="F26" s="9">
        <v>396000</v>
      </c>
      <c r="G26" s="9">
        <v>1883000</v>
      </c>
      <c r="H26" s="9">
        <v>724000</v>
      </c>
      <c r="I26" s="9">
        <v>1159000</v>
      </c>
      <c r="J26" s="9">
        <v>736000</v>
      </c>
      <c r="K26" s="9">
        <v>327000</v>
      </c>
      <c r="L26" s="9">
        <v>409000</v>
      </c>
    </row>
    <row r="27" spans="1:12" ht="12.45" customHeight="1">
      <c r="A27" s="10" t="s">
        <v>282</v>
      </c>
      <c r="B27" s="9">
        <v>5494000</v>
      </c>
      <c r="C27" s="9">
        <v>3896000</v>
      </c>
      <c r="D27" s="9">
        <v>2293000</v>
      </c>
      <c r="E27" s="9">
        <v>1366000</v>
      </c>
      <c r="F27" s="9">
        <v>238000</v>
      </c>
      <c r="G27" s="9">
        <v>1216000</v>
      </c>
      <c r="H27" s="9">
        <v>466000</v>
      </c>
      <c r="I27" s="9">
        <v>750000</v>
      </c>
      <c r="J27" s="9">
        <v>381000</v>
      </c>
      <c r="K27" s="9">
        <v>158000</v>
      </c>
      <c r="L27" s="9">
        <v>223000</v>
      </c>
    </row>
    <row r="28" spans="1:12" ht="12.45" customHeight="1">
      <c r="A28" s="10" t="s">
        <v>283</v>
      </c>
      <c r="B28" s="9">
        <v>4028000</v>
      </c>
      <c r="C28" s="9">
        <v>3007000</v>
      </c>
      <c r="D28" s="9">
        <v>2266000</v>
      </c>
      <c r="E28" s="9">
        <v>582000</v>
      </c>
      <c r="F28" s="9">
        <v>158000</v>
      </c>
      <c r="G28" s="9">
        <v>667000</v>
      </c>
      <c r="H28" s="9">
        <v>258000</v>
      </c>
      <c r="I28" s="9">
        <v>408000</v>
      </c>
      <c r="J28" s="9">
        <v>355000</v>
      </c>
      <c r="K28" s="9">
        <v>169000</v>
      </c>
      <c r="L28" s="9">
        <v>185000</v>
      </c>
    </row>
    <row r="29" spans="1:12" ht="12.45" customHeight="1">
      <c r="A29" s="10" t="s">
        <v>265</v>
      </c>
      <c r="B29" s="9">
        <v>843000</v>
      </c>
      <c r="C29" s="9">
        <v>623000</v>
      </c>
      <c r="D29" s="9">
        <v>405000</v>
      </c>
      <c r="E29" s="9">
        <v>179000</v>
      </c>
      <c r="F29" s="9">
        <v>39000</v>
      </c>
      <c r="G29" s="9">
        <v>129000</v>
      </c>
      <c r="H29" s="9">
        <v>45000</v>
      </c>
      <c r="I29" s="9">
        <v>85000</v>
      </c>
      <c r="J29" s="9">
        <v>91000</v>
      </c>
      <c r="K29" s="9">
        <v>35000</v>
      </c>
      <c r="L29" s="9">
        <v>56000</v>
      </c>
    </row>
    <row r="30" spans="1:12" ht="12.45" customHeight="1">
      <c r="A30" s="10" t="s">
        <v>266</v>
      </c>
      <c r="B30" s="53"/>
      <c r="C30" s="53"/>
      <c r="D30" s="53"/>
      <c r="E30" s="53"/>
      <c r="F30" s="53"/>
      <c r="G30" s="53"/>
      <c r="H30" s="53"/>
      <c r="I30" s="53"/>
      <c r="J30" s="53"/>
      <c r="K30" s="53"/>
      <c r="L30" s="53"/>
    </row>
    <row r="31" spans="1:12" ht="12.45" customHeight="1">
      <c r="A31" s="12" t="s">
        <v>270</v>
      </c>
      <c r="B31" s="9">
        <v>22000</v>
      </c>
      <c r="C31" s="9">
        <v>11000</v>
      </c>
      <c r="D31" s="9">
        <v>9000</v>
      </c>
      <c r="E31" s="13" t="s">
        <v>191</v>
      </c>
      <c r="F31" s="13" t="s">
        <v>220</v>
      </c>
      <c r="G31" s="13" t="s">
        <v>191</v>
      </c>
      <c r="H31" s="13" t="s">
        <v>220</v>
      </c>
      <c r="I31" s="13" t="s">
        <v>191</v>
      </c>
      <c r="J31" s="9">
        <v>4000</v>
      </c>
      <c r="K31" s="13" t="s">
        <v>191</v>
      </c>
      <c r="L31" s="9">
        <v>3000</v>
      </c>
    </row>
    <row r="32" spans="1:12" ht="12.45" customHeight="1">
      <c r="A32" s="12" t="s">
        <v>271</v>
      </c>
      <c r="B32" s="9">
        <v>1264000</v>
      </c>
      <c r="C32" s="9">
        <v>984000</v>
      </c>
      <c r="D32" s="9">
        <v>668000</v>
      </c>
      <c r="E32" s="9">
        <v>251000</v>
      </c>
      <c r="F32" s="9">
        <v>64000</v>
      </c>
      <c r="G32" s="9">
        <v>172000</v>
      </c>
      <c r="H32" s="9">
        <v>123000</v>
      </c>
      <c r="I32" s="9">
        <v>49000</v>
      </c>
      <c r="J32" s="9">
        <v>108000</v>
      </c>
      <c r="K32" s="9">
        <v>42000</v>
      </c>
      <c r="L32" s="9">
        <v>66000</v>
      </c>
    </row>
    <row r="33" spans="1:12" ht="12.45" customHeight="1">
      <c r="A33" s="12" t="s">
        <v>272</v>
      </c>
      <c r="B33" s="9">
        <v>756000</v>
      </c>
      <c r="C33" s="9">
        <v>530000</v>
      </c>
      <c r="D33" s="9">
        <v>313000</v>
      </c>
      <c r="E33" s="9">
        <v>200000</v>
      </c>
      <c r="F33" s="9">
        <v>17000</v>
      </c>
      <c r="G33" s="9">
        <v>128000</v>
      </c>
      <c r="H33" s="9">
        <v>36000</v>
      </c>
      <c r="I33" s="9">
        <v>92000</v>
      </c>
      <c r="J33" s="9">
        <v>98000</v>
      </c>
      <c r="K33" s="9">
        <v>51000</v>
      </c>
      <c r="L33" s="9">
        <v>47000</v>
      </c>
    </row>
    <row r="34" spans="1:12" ht="12.45" customHeight="1">
      <c r="A34" s="12" t="s">
        <v>273</v>
      </c>
      <c r="B34" s="9">
        <v>36000</v>
      </c>
      <c r="C34" s="9">
        <v>28000</v>
      </c>
      <c r="D34" s="13" t="s">
        <v>191</v>
      </c>
      <c r="E34" s="13" t="s">
        <v>191</v>
      </c>
      <c r="F34" s="13" t="s">
        <v>220</v>
      </c>
      <c r="G34" s="9">
        <v>4000</v>
      </c>
      <c r="H34" s="13" t="s">
        <v>191</v>
      </c>
      <c r="I34" s="9">
        <v>1000</v>
      </c>
      <c r="J34" s="13" t="s">
        <v>191</v>
      </c>
      <c r="K34" s="13" t="s">
        <v>191</v>
      </c>
      <c r="L34" s="13" t="s">
        <v>220</v>
      </c>
    </row>
    <row r="35" spans="1:12" ht="12.45" customHeight="1">
      <c r="A35" s="12" t="s">
        <v>274</v>
      </c>
      <c r="B35" s="9">
        <v>6412000</v>
      </c>
      <c r="C35" s="9">
        <v>4578000</v>
      </c>
      <c r="D35" s="9">
        <v>3055000</v>
      </c>
      <c r="E35" s="9">
        <v>1257000</v>
      </c>
      <c r="F35" s="9">
        <v>266000</v>
      </c>
      <c r="G35" s="9">
        <v>1412000</v>
      </c>
      <c r="H35" s="9">
        <v>503000</v>
      </c>
      <c r="I35" s="9">
        <v>910000</v>
      </c>
      <c r="J35" s="9">
        <v>422000</v>
      </c>
      <c r="K35" s="9">
        <v>193000</v>
      </c>
      <c r="L35" s="9">
        <v>229000</v>
      </c>
    </row>
    <row r="36" spans="1:12" ht="12.45" customHeight="1">
      <c r="A36" s="12" t="s">
        <v>275</v>
      </c>
      <c r="B36" s="9">
        <v>189000</v>
      </c>
      <c r="C36" s="9">
        <v>150000</v>
      </c>
      <c r="D36" s="9">
        <v>95000</v>
      </c>
      <c r="E36" s="9">
        <v>46000</v>
      </c>
      <c r="F36" s="9">
        <v>10000</v>
      </c>
      <c r="G36" s="9">
        <v>29000</v>
      </c>
      <c r="H36" s="9">
        <v>13000</v>
      </c>
      <c r="I36" s="9">
        <v>15000</v>
      </c>
      <c r="J36" s="9">
        <v>10000</v>
      </c>
      <c r="K36" s="9">
        <v>5000</v>
      </c>
      <c r="L36" s="9">
        <v>5000</v>
      </c>
    </row>
    <row r="37" spans="1:12" ht="12.45" customHeight="1">
      <c r="A37" s="10" t="s">
        <v>267</v>
      </c>
      <c r="B37" s="9">
        <v>8534000</v>
      </c>
      <c r="C37" s="9">
        <v>6174000</v>
      </c>
      <c r="D37" s="9">
        <v>4035000</v>
      </c>
      <c r="E37" s="9">
        <v>1813000</v>
      </c>
      <c r="F37" s="9">
        <v>326000</v>
      </c>
      <c r="G37" s="9">
        <v>1714000</v>
      </c>
      <c r="H37" s="9">
        <v>671000</v>
      </c>
      <c r="I37" s="9">
        <v>1043000</v>
      </c>
      <c r="J37" s="9">
        <v>646000</v>
      </c>
      <c r="K37" s="9">
        <v>286000</v>
      </c>
      <c r="L37" s="9">
        <v>360000</v>
      </c>
    </row>
    <row r="38" spans="1:12" ht="12.45" customHeight="1">
      <c r="A38" s="10" t="s">
        <v>268</v>
      </c>
      <c r="B38" s="9">
        <v>987000</v>
      </c>
      <c r="C38" s="9">
        <v>729000</v>
      </c>
      <c r="D38" s="9">
        <v>523000</v>
      </c>
      <c r="E38" s="9">
        <v>135000</v>
      </c>
      <c r="F38" s="9">
        <v>71000</v>
      </c>
      <c r="G38" s="9">
        <v>169000</v>
      </c>
      <c r="H38" s="9">
        <v>53000</v>
      </c>
      <c r="I38" s="9">
        <v>116000</v>
      </c>
      <c r="J38" s="9">
        <v>90000</v>
      </c>
      <c r="K38" s="9">
        <v>41000</v>
      </c>
      <c r="L38" s="9">
        <v>49000</v>
      </c>
    </row>
    <row r="39" spans="1:12" ht="12.45" customHeight="1">
      <c r="A39" s="8" t="s">
        <v>176</v>
      </c>
      <c r="B39" s="9">
        <v>34349000</v>
      </c>
      <c r="C39" s="9">
        <v>23640000</v>
      </c>
      <c r="D39" s="9">
        <v>17889000</v>
      </c>
      <c r="E39" s="9">
        <v>2921000</v>
      </c>
      <c r="F39" s="9">
        <v>2829000</v>
      </c>
      <c r="G39" s="9">
        <v>6842000</v>
      </c>
      <c r="H39" s="9">
        <v>1570000</v>
      </c>
      <c r="I39" s="9">
        <v>5272000</v>
      </c>
      <c r="J39" s="9">
        <v>3867000</v>
      </c>
      <c r="K39" s="9">
        <v>1338000</v>
      </c>
      <c r="L39" s="9">
        <v>2529000</v>
      </c>
    </row>
  </sheetData>
  <mergeCells count="6">
    <mergeCell ref="A1:M1"/>
    <mergeCell ref="A3:A4"/>
    <mergeCell ref="B3:B4"/>
    <mergeCell ref="C3:F3"/>
    <mergeCell ref="G3:I3"/>
    <mergeCell ref="J3:L3"/>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249977111117893"/>
  </sheetPr>
  <dimension ref="A1:M18"/>
  <sheetViews>
    <sheetView workbookViewId="0">
      <selection sqref="A1:N1"/>
    </sheetView>
  </sheetViews>
  <sheetFormatPr defaultRowHeight="13.2"/>
  <cols>
    <col min="1" max="1" width="59.77734375" customWidth="1"/>
    <col min="2" max="2" width="14.44140625" customWidth="1"/>
    <col min="3" max="3" width="30.6640625" customWidth="1"/>
    <col min="4" max="5" width="35.33203125" customWidth="1"/>
    <col min="6" max="6" width="37.44140625" customWidth="1"/>
    <col min="7" max="7" width="19.109375" customWidth="1"/>
    <col min="8" max="8" width="35.33203125" customWidth="1"/>
    <col min="9" max="9" width="58.109375" customWidth="1"/>
    <col min="10" max="10" width="21.44140625" customWidth="1"/>
    <col min="11" max="11" width="24" customWidth="1"/>
    <col min="12" max="12" width="30.44140625" customWidth="1"/>
    <col min="13" max="13" width="2.44140625" customWidth="1"/>
  </cols>
  <sheetData>
    <row r="1" spans="1:13" ht="42.75" customHeight="1">
      <c r="A1" s="321" t="s">
        <v>382</v>
      </c>
      <c r="B1" s="321"/>
      <c r="C1" s="321"/>
      <c r="D1" s="321"/>
      <c r="E1" s="321"/>
      <c r="F1" s="321"/>
      <c r="G1" s="321"/>
      <c r="H1" s="321"/>
      <c r="I1" s="321"/>
      <c r="J1" s="321"/>
      <c r="K1" s="321"/>
      <c r="L1" s="321"/>
      <c r="M1" s="321"/>
    </row>
    <row r="2" spans="1:13" ht="13.95" customHeight="1">
      <c r="A2" s="339" t="s">
        <v>383</v>
      </c>
      <c r="B2" s="345" t="s">
        <v>167</v>
      </c>
      <c r="C2" s="330" t="s">
        <v>252</v>
      </c>
      <c r="D2" s="331"/>
      <c r="E2" s="331"/>
      <c r="F2" s="332"/>
      <c r="G2" s="330" t="s">
        <v>253</v>
      </c>
      <c r="H2" s="331"/>
      <c r="I2" s="332"/>
      <c r="J2" s="330" t="s">
        <v>254</v>
      </c>
      <c r="K2" s="331"/>
      <c r="L2" s="332"/>
    </row>
    <row r="3" spans="1:13" ht="16.2" customHeight="1">
      <c r="A3" s="341"/>
      <c r="B3" s="346"/>
      <c r="C3" s="41" t="s">
        <v>384</v>
      </c>
      <c r="D3" s="41" t="s">
        <v>255</v>
      </c>
      <c r="E3" s="41" t="s">
        <v>256</v>
      </c>
      <c r="F3" s="41" t="s">
        <v>257</v>
      </c>
      <c r="G3" s="5" t="s">
        <v>385</v>
      </c>
      <c r="H3" s="43" t="s">
        <v>258</v>
      </c>
      <c r="I3" s="44" t="s">
        <v>259</v>
      </c>
      <c r="J3" s="41" t="s">
        <v>386</v>
      </c>
      <c r="K3" s="41" t="s">
        <v>260</v>
      </c>
      <c r="L3" s="41" t="s">
        <v>261</v>
      </c>
    </row>
    <row r="4" spans="1:13" ht="12.45" customHeight="1">
      <c r="A4" s="14" t="s">
        <v>282</v>
      </c>
      <c r="B4" s="7">
        <v>18699000</v>
      </c>
      <c r="C4" s="7">
        <v>11615000</v>
      </c>
      <c r="D4" s="7">
        <v>8244000</v>
      </c>
      <c r="E4" s="7">
        <v>1929000</v>
      </c>
      <c r="F4" s="7">
        <v>1442000</v>
      </c>
      <c r="G4" s="7">
        <v>5095000</v>
      </c>
      <c r="H4" s="7">
        <v>996000</v>
      </c>
      <c r="I4" s="7">
        <v>4100000</v>
      </c>
      <c r="J4" s="7">
        <v>1989000</v>
      </c>
      <c r="K4" s="7">
        <v>576000</v>
      </c>
      <c r="L4" s="7">
        <v>1413000</v>
      </c>
    </row>
    <row r="5" spans="1:13" ht="12.45" customHeight="1">
      <c r="A5" s="10" t="s">
        <v>283</v>
      </c>
      <c r="B5" s="9">
        <v>15649000</v>
      </c>
      <c r="C5" s="9">
        <v>12025000</v>
      </c>
      <c r="D5" s="9">
        <v>9645000</v>
      </c>
      <c r="E5" s="9">
        <v>993000</v>
      </c>
      <c r="F5" s="9">
        <v>1387000</v>
      </c>
      <c r="G5" s="9">
        <v>1747000</v>
      </c>
      <c r="H5" s="9">
        <v>575000</v>
      </c>
      <c r="I5" s="9">
        <v>1172000</v>
      </c>
      <c r="J5" s="9">
        <v>1878000</v>
      </c>
      <c r="K5" s="9">
        <v>761000</v>
      </c>
      <c r="L5" s="9">
        <v>1116000</v>
      </c>
    </row>
    <row r="6" spans="1:13" ht="12.45" customHeight="1">
      <c r="A6" s="10" t="s">
        <v>265</v>
      </c>
      <c r="B6" s="9">
        <v>3772000</v>
      </c>
      <c r="C6" s="9">
        <v>2310000</v>
      </c>
      <c r="D6" s="9">
        <v>1852000</v>
      </c>
      <c r="E6" s="9">
        <v>244000</v>
      </c>
      <c r="F6" s="9">
        <v>214000</v>
      </c>
      <c r="G6" s="9">
        <v>917000</v>
      </c>
      <c r="H6" s="9">
        <v>197000</v>
      </c>
      <c r="I6" s="9">
        <v>720000</v>
      </c>
      <c r="J6" s="9">
        <v>545000</v>
      </c>
      <c r="K6" s="9">
        <v>207000</v>
      </c>
      <c r="L6" s="9">
        <v>339000</v>
      </c>
    </row>
    <row r="7" spans="1:13" ht="12.45" customHeight="1">
      <c r="A7" s="10" t="s">
        <v>266</v>
      </c>
      <c r="B7" s="53"/>
      <c r="C7" s="53"/>
      <c r="D7" s="53"/>
      <c r="E7" s="53"/>
      <c r="F7" s="53"/>
      <c r="G7" s="53"/>
      <c r="H7" s="53"/>
      <c r="I7" s="53"/>
      <c r="J7" s="53"/>
      <c r="K7" s="53"/>
      <c r="L7" s="53"/>
    </row>
    <row r="8" spans="1:13" ht="12.45" customHeight="1">
      <c r="A8" s="12" t="s">
        <v>270</v>
      </c>
      <c r="B8" s="9">
        <v>94000</v>
      </c>
      <c r="C8" s="9">
        <v>56000</v>
      </c>
      <c r="D8" s="9">
        <v>42000</v>
      </c>
      <c r="E8" s="13" t="s">
        <v>191</v>
      </c>
      <c r="F8" s="9">
        <v>4000</v>
      </c>
      <c r="G8" s="9">
        <v>14000</v>
      </c>
      <c r="H8" s="9">
        <v>2000</v>
      </c>
      <c r="I8" s="9">
        <v>12000</v>
      </c>
      <c r="J8" s="9">
        <v>24000</v>
      </c>
      <c r="K8" s="9">
        <v>1000</v>
      </c>
      <c r="L8" s="9">
        <v>23000</v>
      </c>
    </row>
    <row r="9" spans="1:13" ht="12.45" customHeight="1">
      <c r="A9" s="12" t="s">
        <v>271</v>
      </c>
      <c r="B9" s="9">
        <v>2546000</v>
      </c>
      <c r="C9" s="9">
        <v>1984000</v>
      </c>
      <c r="D9" s="9">
        <v>1686000</v>
      </c>
      <c r="E9" s="9">
        <v>121000</v>
      </c>
      <c r="F9" s="9">
        <v>177000</v>
      </c>
      <c r="G9" s="9">
        <v>299000</v>
      </c>
      <c r="H9" s="9">
        <v>126000</v>
      </c>
      <c r="I9" s="9">
        <v>172000</v>
      </c>
      <c r="J9" s="9">
        <v>263000</v>
      </c>
      <c r="K9" s="9">
        <v>76000</v>
      </c>
      <c r="L9" s="9">
        <v>188000</v>
      </c>
    </row>
    <row r="10" spans="1:13" ht="12.45" customHeight="1">
      <c r="A10" s="12" t="s">
        <v>272</v>
      </c>
      <c r="B10" s="9">
        <v>2955000</v>
      </c>
      <c r="C10" s="9">
        <v>1664000</v>
      </c>
      <c r="D10" s="9">
        <v>1197000</v>
      </c>
      <c r="E10" s="9">
        <v>343000</v>
      </c>
      <c r="F10" s="9">
        <v>124000</v>
      </c>
      <c r="G10" s="9">
        <v>650000</v>
      </c>
      <c r="H10" s="9">
        <v>159000</v>
      </c>
      <c r="I10" s="9">
        <v>491000</v>
      </c>
      <c r="J10" s="9">
        <v>641000</v>
      </c>
      <c r="K10" s="9">
        <v>237000</v>
      </c>
      <c r="L10" s="9">
        <v>404000</v>
      </c>
    </row>
    <row r="11" spans="1:13" ht="12.45" customHeight="1">
      <c r="A11" s="12" t="s">
        <v>273</v>
      </c>
      <c r="B11" s="9">
        <v>83000</v>
      </c>
      <c r="C11" s="9">
        <v>46000</v>
      </c>
      <c r="D11" s="9">
        <v>35000</v>
      </c>
      <c r="E11" s="13" t="s">
        <v>191</v>
      </c>
      <c r="F11" s="13" t="s">
        <v>191</v>
      </c>
      <c r="G11" s="9">
        <v>7000</v>
      </c>
      <c r="H11" s="13" t="s">
        <v>191</v>
      </c>
      <c r="I11" s="9">
        <v>3000</v>
      </c>
      <c r="J11" s="9">
        <v>31000</v>
      </c>
      <c r="K11" s="13" t="s">
        <v>191</v>
      </c>
      <c r="L11" s="9">
        <v>24000</v>
      </c>
    </row>
    <row r="12" spans="1:13" ht="12.45" customHeight="1">
      <c r="A12" s="12" t="s">
        <v>274</v>
      </c>
      <c r="B12" s="9">
        <v>24018000</v>
      </c>
      <c r="C12" s="9">
        <v>16960000</v>
      </c>
      <c r="D12" s="9">
        <v>12616000</v>
      </c>
      <c r="E12" s="9">
        <v>2140000</v>
      </c>
      <c r="F12" s="9">
        <v>2205000</v>
      </c>
      <c r="G12" s="9">
        <v>4803000</v>
      </c>
      <c r="H12" s="9">
        <v>1050000</v>
      </c>
      <c r="I12" s="9">
        <v>3753000</v>
      </c>
      <c r="J12" s="9">
        <v>2255000</v>
      </c>
      <c r="K12" s="9">
        <v>772000</v>
      </c>
      <c r="L12" s="9">
        <v>1483000</v>
      </c>
    </row>
    <row r="13" spans="1:13" ht="12.45" customHeight="1">
      <c r="A13" s="12" t="s">
        <v>275</v>
      </c>
      <c r="B13" s="9">
        <v>880000</v>
      </c>
      <c r="C13" s="9">
        <v>619000</v>
      </c>
      <c r="D13" s="9">
        <v>460000</v>
      </c>
      <c r="E13" s="9">
        <v>57000</v>
      </c>
      <c r="F13" s="9">
        <v>102000</v>
      </c>
      <c r="G13" s="9">
        <v>153000</v>
      </c>
      <c r="H13" s="9">
        <v>32000</v>
      </c>
      <c r="I13" s="9">
        <v>121000</v>
      </c>
      <c r="J13" s="9">
        <v>108000</v>
      </c>
      <c r="K13" s="9">
        <v>39000</v>
      </c>
      <c r="L13" s="9">
        <v>69000</v>
      </c>
    </row>
    <row r="14" spans="1:13" ht="12.45" customHeight="1">
      <c r="A14" s="10" t="s">
        <v>267</v>
      </c>
      <c r="B14" s="9">
        <v>29886000</v>
      </c>
      <c r="C14" s="9">
        <v>20473000</v>
      </c>
      <c r="D14" s="9">
        <v>15561000</v>
      </c>
      <c r="E14" s="9">
        <v>2578000</v>
      </c>
      <c r="F14" s="9">
        <v>2334000</v>
      </c>
      <c r="G14" s="9">
        <v>6077000</v>
      </c>
      <c r="H14" s="9">
        <v>1378000</v>
      </c>
      <c r="I14" s="9">
        <v>4699000</v>
      </c>
      <c r="J14" s="9">
        <v>3336000</v>
      </c>
      <c r="K14" s="9">
        <v>1081000</v>
      </c>
      <c r="L14" s="9">
        <v>2255000</v>
      </c>
    </row>
    <row r="15" spans="1:13" ht="12.45" customHeight="1">
      <c r="A15" s="20" t="s">
        <v>268</v>
      </c>
      <c r="B15" s="21">
        <v>4462000</v>
      </c>
      <c r="C15" s="21">
        <v>3167000</v>
      </c>
      <c r="D15" s="21">
        <v>2328000</v>
      </c>
      <c r="E15" s="21">
        <v>343000</v>
      </c>
      <c r="F15" s="21">
        <v>495000</v>
      </c>
      <c r="G15" s="21">
        <v>765000</v>
      </c>
      <c r="H15" s="21">
        <v>192000</v>
      </c>
      <c r="I15" s="21">
        <v>573000</v>
      </c>
      <c r="J15" s="21">
        <v>531000</v>
      </c>
      <c r="K15" s="21">
        <v>256000</v>
      </c>
      <c r="L15" s="21">
        <v>274000</v>
      </c>
    </row>
    <row r="16" spans="1:13" ht="11.25" customHeight="1">
      <c r="A16" s="344" t="s">
        <v>224</v>
      </c>
      <c r="B16" s="344"/>
      <c r="C16" s="344"/>
      <c r="D16" s="344"/>
      <c r="E16" s="344"/>
      <c r="F16" s="344"/>
      <c r="G16" s="344"/>
      <c r="H16" s="344"/>
      <c r="I16" s="344"/>
      <c r="J16" s="344"/>
      <c r="K16" s="344"/>
      <c r="L16" s="344"/>
      <c r="M16" s="344"/>
    </row>
    <row r="17" spans="1:13" ht="104.7" customHeight="1">
      <c r="A17" s="321" t="s">
        <v>388</v>
      </c>
      <c r="B17" s="321"/>
      <c r="C17" s="321"/>
      <c r="D17" s="321"/>
      <c r="E17" s="321"/>
      <c r="F17" s="321"/>
      <c r="G17" s="321"/>
      <c r="H17" s="321"/>
      <c r="I17" s="321"/>
      <c r="J17" s="321"/>
      <c r="K17" s="321"/>
      <c r="L17" s="321"/>
      <c r="M17" s="321"/>
    </row>
    <row r="18" spans="1:13" ht="1.95" customHeight="1"/>
  </sheetData>
  <mergeCells count="8">
    <mergeCell ref="A16:M16"/>
    <mergeCell ref="A17:M17"/>
    <mergeCell ref="A1:M1"/>
    <mergeCell ref="A2:A3"/>
    <mergeCell ref="B2:B3"/>
    <mergeCell ref="C2:F2"/>
    <mergeCell ref="G2:I2"/>
    <mergeCell ref="J2:L2"/>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211"/>
  <sheetViews>
    <sheetView topLeftCell="B1" workbookViewId="0">
      <pane ySplit="4" topLeftCell="A5" activePane="bottomLeft" state="frozen"/>
      <selection pane="bottomLeft" sqref="A1:I1"/>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 min="10" max="10" width="8.44140625" bestFit="1" customWidth="1"/>
    <col min="11" max="11" width="13.6640625" bestFit="1" customWidth="1"/>
    <col min="13" max="13" width="8.44140625" bestFit="1" customWidth="1"/>
  </cols>
  <sheetData>
    <row r="1" spans="1:14" ht="39" customHeight="1">
      <c r="A1" s="321" t="s">
        <v>389</v>
      </c>
      <c r="B1" s="321"/>
      <c r="C1" s="321"/>
      <c r="D1" s="321"/>
      <c r="E1" s="321"/>
      <c r="F1" s="321"/>
      <c r="G1" s="321"/>
      <c r="H1" s="321"/>
      <c r="I1" s="321"/>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12.45" customHeight="1">
      <c r="A5" s="128" t="s">
        <v>403</v>
      </c>
      <c r="B5" s="127">
        <v>51764000</v>
      </c>
      <c r="C5" s="126">
        <v>2911000</v>
      </c>
      <c r="D5" s="126">
        <v>1468000</v>
      </c>
      <c r="E5" s="126">
        <v>22217000</v>
      </c>
      <c r="F5" s="126">
        <v>3893000</v>
      </c>
      <c r="G5" s="126">
        <v>6634000</v>
      </c>
      <c r="H5" s="126">
        <v>14640000</v>
      </c>
      <c r="I5" s="204">
        <f>C5/$B5</f>
        <v>5.6235994127192643E-2</v>
      </c>
      <c r="J5" s="204">
        <f t="shared" ref="J5:N5" si="0">D5/$B5</f>
        <v>2.83594776292404E-2</v>
      </c>
      <c r="K5" s="204">
        <f t="shared" si="0"/>
        <v>0.42919789815315662</v>
      </c>
      <c r="L5" s="204">
        <f t="shared" si="0"/>
        <v>7.5206707364191328E-2</v>
      </c>
      <c r="M5" s="204">
        <f t="shared" si="0"/>
        <v>0.12815856579862453</v>
      </c>
      <c r="N5" s="204">
        <f t="shared" si="0"/>
        <v>0.28282203848234294</v>
      </c>
    </row>
    <row r="6" spans="1:14" ht="12.45" customHeight="1">
      <c r="A6" s="129" t="s">
        <v>404</v>
      </c>
      <c r="B6" s="105">
        <v>7894000</v>
      </c>
      <c r="C6" s="9">
        <v>2224000</v>
      </c>
      <c r="D6" s="9">
        <v>769000</v>
      </c>
      <c r="E6" s="9">
        <v>1629000</v>
      </c>
      <c r="F6" s="9">
        <v>1834000</v>
      </c>
      <c r="G6" s="9">
        <v>428000</v>
      </c>
      <c r="H6" s="9">
        <v>1009000</v>
      </c>
      <c r="I6" s="204">
        <f t="shared" ref="I6:I40" si="1">C6/$B6</f>
        <v>0.28173296174309603</v>
      </c>
      <c r="J6" s="204">
        <f t="shared" ref="J6:N41" si="2">D6/$B6</f>
        <v>9.7415758804155053E-2</v>
      </c>
      <c r="K6" s="204">
        <f t="shared" ref="K6:K40" si="3">E6/$B6</f>
        <v>0.20635926019761844</v>
      </c>
      <c r="L6" s="204">
        <f t="shared" ref="L6:L40" si="4">F6/$B6</f>
        <v>0.23232835064606031</v>
      </c>
      <c r="M6" s="204">
        <f t="shared" ref="M6:M40" si="5">G6/$B6</f>
        <v>5.4218393716746895E-2</v>
      </c>
      <c r="N6" s="204">
        <f t="shared" ref="N6:N40" si="6">H6/$B6</f>
        <v>0.1278185964023309</v>
      </c>
    </row>
    <row r="7" spans="1:14" ht="24.75" customHeight="1">
      <c r="A7" s="130" t="s">
        <v>405</v>
      </c>
      <c r="B7" s="106">
        <v>794000</v>
      </c>
      <c r="C7" s="11">
        <v>10000</v>
      </c>
      <c r="D7" s="11">
        <v>7000</v>
      </c>
      <c r="E7" s="11">
        <v>125000</v>
      </c>
      <c r="F7" s="11">
        <v>490000</v>
      </c>
      <c r="G7" s="11">
        <v>67000</v>
      </c>
      <c r="H7" s="11">
        <v>94000</v>
      </c>
      <c r="I7" s="204">
        <f t="shared" si="1"/>
        <v>1.2594458438287154E-2</v>
      </c>
      <c r="J7" s="204">
        <f t="shared" si="2"/>
        <v>8.8161209068010078E-3</v>
      </c>
      <c r="K7" s="204">
        <f t="shared" si="3"/>
        <v>0.15743073047858941</v>
      </c>
      <c r="L7" s="204">
        <f t="shared" si="4"/>
        <v>0.61712846347607053</v>
      </c>
      <c r="M7" s="204">
        <f t="shared" si="5"/>
        <v>8.4382871536523935E-2</v>
      </c>
      <c r="N7" s="204">
        <f t="shared" si="6"/>
        <v>0.11838790931989925</v>
      </c>
    </row>
    <row r="8" spans="1:14" ht="12.45" customHeight="1">
      <c r="A8" s="183" t="s">
        <v>343</v>
      </c>
      <c r="B8" s="105">
        <v>74000</v>
      </c>
      <c r="C8" s="13" t="s">
        <v>220</v>
      </c>
      <c r="D8" s="13" t="s">
        <v>220</v>
      </c>
      <c r="E8" s="9">
        <v>13000</v>
      </c>
      <c r="F8" s="9">
        <v>48000</v>
      </c>
      <c r="G8" s="13" t="s">
        <v>220</v>
      </c>
      <c r="H8" s="9">
        <v>12000</v>
      </c>
      <c r="I8" s="204" t="e">
        <f t="shared" si="1"/>
        <v>#VALUE!</v>
      </c>
      <c r="J8" s="204" t="e">
        <f t="shared" si="2"/>
        <v>#VALUE!</v>
      </c>
      <c r="K8" s="204">
        <f t="shared" si="3"/>
        <v>0.17567567567567569</v>
      </c>
      <c r="L8" s="204">
        <f t="shared" si="4"/>
        <v>0.64864864864864868</v>
      </c>
      <c r="M8" s="204" t="e">
        <f t="shared" si="5"/>
        <v>#VALUE!</v>
      </c>
      <c r="N8" s="204">
        <f t="shared" si="6"/>
        <v>0.16216216216216217</v>
      </c>
    </row>
    <row r="9" spans="1:14" ht="24.75" customHeight="1">
      <c r="A9" s="131" t="s">
        <v>344</v>
      </c>
      <c r="B9" s="106">
        <v>572000</v>
      </c>
      <c r="C9" s="11">
        <v>10000</v>
      </c>
      <c r="D9" s="11">
        <v>6000</v>
      </c>
      <c r="E9" s="11">
        <v>86000</v>
      </c>
      <c r="F9" s="11">
        <v>390000</v>
      </c>
      <c r="G9" s="11">
        <v>8000</v>
      </c>
      <c r="H9" s="11">
        <v>72000</v>
      </c>
      <c r="I9" s="204">
        <f t="shared" si="1"/>
        <v>1.7482517482517484E-2</v>
      </c>
      <c r="J9" s="204">
        <f t="shared" si="2"/>
        <v>1.048951048951049E-2</v>
      </c>
      <c r="K9" s="204">
        <f t="shared" si="3"/>
        <v>0.15034965034965034</v>
      </c>
      <c r="L9" s="204">
        <f t="shared" si="4"/>
        <v>0.68181818181818177</v>
      </c>
      <c r="M9" s="204">
        <f t="shared" si="5"/>
        <v>1.3986013986013986E-2</v>
      </c>
      <c r="N9" s="204">
        <f t="shared" si="6"/>
        <v>0.12587412587412589</v>
      </c>
    </row>
    <row r="10" spans="1:14" ht="12.45" customHeight="1">
      <c r="A10" s="131" t="s">
        <v>345</v>
      </c>
      <c r="B10" s="105">
        <v>45000</v>
      </c>
      <c r="C10" s="13" t="s">
        <v>220</v>
      </c>
      <c r="D10" s="13" t="s">
        <v>222</v>
      </c>
      <c r="E10" s="9">
        <v>19000</v>
      </c>
      <c r="F10" s="9">
        <v>17000</v>
      </c>
      <c r="G10" s="13" t="s">
        <v>220</v>
      </c>
      <c r="H10" s="9">
        <v>8000</v>
      </c>
      <c r="I10" s="204" t="e">
        <f t="shared" si="1"/>
        <v>#VALUE!</v>
      </c>
      <c r="J10" s="204" t="e">
        <f t="shared" si="2"/>
        <v>#VALUE!</v>
      </c>
      <c r="K10" s="204">
        <f t="shared" si="3"/>
        <v>0.42222222222222222</v>
      </c>
      <c r="L10" s="204">
        <f t="shared" si="4"/>
        <v>0.37777777777777777</v>
      </c>
      <c r="M10" s="204" t="e">
        <f t="shared" si="5"/>
        <v>#VALUE!</v>
      </c>
      <c r="N10" s="204">
        <f t="shared" si="6"/>
        <v>0.17777777777777778</v>
      </c>
    </row>
    <row r="11" spans="1:14" ht="24.75" customHeight="1">
      <c r="A11" s="131" t="s">
        <v>346</v>
      </c>
      <c r="B11" s="106">
        <v>103000</v>
      </c>
      <c r="C11" s="16" t="s">
        <v>220</v>
      </c>
      <c r="D11" s="16" t="s">
        <v>220</v>
      </c>
      <c r="E11" s="11">
        <v>6000</v>
      </c>
      <c r="F11" s="11">
        <v>36000</v>
      </c>
      <c r="G11" s="11">
        <v>59000</v>
      </c>
      <c r="H11" s="16" t="s">
        <v>191</v>
      </c>
      <c r="I11" s="204" t="e">
        <f t="shared" si="1"/>
        <v>#VALUE!</v>
      </c>
      <c r="J11" s="204" t="e">
        <f t="shared" si="2"/>
        <v>#VALUE!</v>
      </c>
      <c r="K11" s="204">
        <f t="shared" si="3"/>
        <v>5.8252427184466021E-2</v>
      </c>
      <c r="L11" s="204">
        <f t="shared" si="4"/>
        <v>0.34951456310679613</v>
      </c>
      <c r="M11" s="204">
        <f t="shared" si="5"/>
        <v>0.57281553398058249</v>
      </c>
      <c r="N11" s="204" t="e">
        <f t="shared" si="6"/>
        <v>#VALUE!</v>
      </c>
    </row>
    <row r="12" spans="1:14" ht="24.75" customHeight="1">
      <c r="A12" s="130" t="s">
        <v>228</v>
      </c>
      <c r="B12" s="106">
        <v>4031000</v>
      </c>
      <c r="C12" s="11">
        <v>2077000</v>
      </c>
      <c r="D12" s="11">
        <v>244000</v>
      </c>
      <c r="E12" s="11">
        <v>722000</v>
      </c>
      <c r="F12" s="11">
        <v>507000</v>
      </c>
      <c r="G12" s="11">
        <v>125000</v>
      </c>
      <c r="H12" s="11">
        <v>357000</v>
      </c>
      <c r="I12" s="204">
        <f t="shared" si="1"/>
        <v>0.51525676010915411</v>
      </c>
      <c r="J12" s="204">
        <f t="shared" si="2"/>
        <v>6.0530885636318532E-2</v>
      </c>
      <c r="K12" s="204">
        <f t="shared" si="3"/>
        <v>0.17911188290746713</v>
      </c>
      <c r="L12" s="204">
        <f t="shared" si="4"/>
        <v>0.12577524187546515</v>
      </c>
      <c r="M12" s="204">
        <f t="shared" si="5"/>
        <v>3.1009675018605805E-2</v>
      </c>
      <c r="N12" s="204">
        <f t="shared" si="6"/>
        <v>8.8563631853138175E-2</v>
      </c>
    </row>
    <row r="13" spans="1:14" ht="24.75" customHeight="1">
      <c r="A13" s="131" t="s">
        <v>347</v>
      </c>
      <c r="B13" s="106">
        <v>3627000</v>
      </c>
      <c r="C13" s="11">
        <v>2024000</v>
      </c>
      <c r="D13" s="11">
        <v>212000</v>
      </c>
      <c r="E13" s="11">
        <v>651000</v>
      </c>
      <c r="F13" s="11">
        <v>385000</v>
      </c>
      <c r="G13" s="11">
        <v>33000</v>
      </c>
      <c r="H13" s="11">
        <v>323000</v>
      </c>
      <c r="I13" s="204">
        <f t="shared" si="1"/>
        <v>0.55803694513371938</v>
      </c>
      <c r="J13" s="204">
        <f t="shared" si="2"/>
        <v>5.8450510063413293E-2</v>
      </c>
      <c r="K13" s="204">
        <f t="shared" si="3"/>
        <v>0.17948717948717949</v>
      </c>
      <c r="L13" s="204">
        <f t="shared" si="4"/>
        <v>0.10614833195478357</v>
      </c>
      <c r="M13" s="204">
        <f t="shared" si="5"/>
        <v>9.0984284532671638E-3</v>
      </c>
      <c r="N13" s="204">
        <f t="shared" si="6"/>
        <v>8.9054314860766468E-2</v>
      </c>
    </row>
    <row r="14" spans="1:14" ht="12.45" customHeight="1">
      <c r="A14" s="131" t="s">
        <v>348</v>
      </c>
      <c r="B14" s="105">
        <v>293000</v>
      </c>
      <c r="C14" s="9">
        <v>51000</v>
      </c>
      <c r="D14" s="9">
        <v>32000</v>
      </c>
      <c r="E14" s="9">
        <v>65000</v>
      </c>
      <c r="F14" s="9">
        <v>104000</v>
      </c>
      <c r="G14" s="13" t="s">
        <v>191</v>
      </c>
      <c r="H14" s="9">
        <v>34000</v>
      </c>
      <c r="I14" s="204">
        <f t="shared" si="1"/>
        <v>0.17406143344709898</v>
      </c>
      <c r="J14" s="204">
        <f t="shared" si="2"/>
        <v>0.10921501706484642</v>
      </c>
      <c r="K14" s="204">
        <f t="shared" si="3"/>
        <v>0.22184300341296928</v>
      </c>
      <c r="L14" s="204">
        <f t="shared" si="4"/>
        <v>0.35494880546075086</v>
      </c>
      <c r="M14" s="204" t="e">
        <f t="shared" si="5"/>
        <v>#VALUE!</v>
      </c>
      <c r="N14" s="204">
        <f t="shared" si="6"/>
        <v>0.11604095563139932</v>
      </c>
    </row>
    <row r="15" spans="1:14" ht="24.75" customHeight="1">
      <c r="A15" s="131" t="s">
        <v>349</v>
      </c>
      <c r="B15" s="106">
        <v>111000</v>
      </c>
      <c r="C15" s="11">
        <v>2000</v>
      </c>
      <c r="D15" s="16" t="s">
        <v>220</v>
      </c>
      <c r="E15" s="11">
        <v>5000</v>
      </c>
      <c r="F15" s="11">
        <v>17000</v>
      </c>
      <c r="G15" s="11">
        <v>86000</v>
      </c>
      <c r="H15" s="16" t="s">
        <v>220</v>
      </c>
      <c r="I15" s="204">
        <f t="shared" si="1"/>
        <v>1.8018018018018018E-2</v>
      </c>
      <c r="J15" s="204" t="e">
        <f t="shared" si="2"/>
        <v>#VALUE!</v>
      </c>
      <c r="K15" s="204">
        <f t="shared" si="3"/>
        <v>4.5045045045045043E-2</v>
      </c>
      <c r="L15" s="204">
        <f t="shared" si="4"/>
        <v>0.15315315315315314</v>
      </c>
      <c r="M15" s="204">
        <f t="shared" si="5"/>
        <v>0.77477477477477474</v>
      </c>
      <c r="N15" s="204" t="e">
        <f t="shared" si="6"/>
        <v>#VALUE!</v>
      </c>
    </row>
    <row r="16" spans="1:14" ht="12.45" customHeight="1">
      <c r="A16" s="130" t="s">
        <v>229</v>
      </c>
      <c r="B16" s="105">
        <v>408000</v>
      </c>
      <c r="C16" s="9">
        <v>9000</v>
      </c>
      <c r="D16" s="9">
        <v>6000</v>
      </c>
      <c r="E16" s="9">
        <v>65000</v>
      </c>
      <c r="F16" s="9">
        <v>199000</v>
      </c>
      <c r="G16" s="9">
        <v>59000</v>
      </c>
      <c r="H16" s="9">
        <v>70000</v>
      </c>
      <c r="I16" s="204">
        <f t="shared" si="1"/>
        <v>2.2058823529411766E-2</v>
      </c>
      <c r="J16" s="204">
        <f t="shared" si="2"/>
        <v>1.4705882352941176E-2</v>
      </c>
      <c r="K16" s="204">
        <f t="shared" si="3"/>
        <v>0.15931372549019607</v>
      </c>
      <c r="L16" s="204">
        <f t="shared" si="4"/>
        <v>0.48774509803921567</v>
      </c>
      <c r="M16" s="204">
        <f t="shared" si="5"/>
        <v>0.14460784313725492</v>
      </c>
      <c r="N16" s="204">
        <f t="shared" si="6"/>
        <v>0.17156862745098039</v>
      </c>
    </row>
    <row r="17" spans="1:14" ht="12.45" customHeight="1">
      <c r="A17" s="184" t="s">
        <v>350</v>
      </c>
      <c r="B17" s="105">
        <v>114000</v>
      </c>
      <c r="C17" s="13" t="s">
        <v>191</v>
      </c>
      <c r="D17" s="9">
        <v>1000</v>
      </c>
      <c r="E17" s="9">
        <v>18000</v>
      </c>
      <c r="F17" s="9">
        <v>60000</v>
      </c>
      <c r="G17" s="9">
        <v>1000</v>
      </c>
      <c r="H17" s="9">
        <v>32000</v>
      </c>
      <c r="I17" s="204" t="e">
        <f t="shared" si="1"/>
        <v>#VALUE!</v>
      </c>
      <c r="J17" s="204">
        <f t="shared" si="2"/>
        <v>8.771929824561403E-3</v>
      </c>
      <c r="K17" s="204">
        <f t="shared" si="3"/>
        <v>0.15789473684210525</v>
      </c>
      <c r="L17" s="204">
        <f t="shared" si="4"/>
        <v>0.52631578947368418</v>
      </c>
      <c r="M17" s="204">
        <f t="shared" si="5"/>
        <v>8.771929824561403E-3</v>
      </c>
      <c r="N17" s="204">
        <f t="shared" si="6"/>
        <v>0.2807017543859649</v>
      </c>
    </row>
    <row r="18" spans="1:14" ht="24.75" customHeight="1">
      <c r="A18" s="131" t="s">
        <v>351</v>
      </c>
      <c r="B18" s="106">
        <v>91000</v>
      </c>
      <c r="C18" s="11">
        <v>3000</v>
      </c>
      <c r="D18" s="16" t="s">
        <v>191</v>
      </c>
      <c r="E18" s="11">
        <v>19000</v>
      </c>
      <c r="F18" s="11">
        <v>49000</v>
      </c>
      <c r="G18" s="16" t="s">
        <v>220</v>
      </c>
      <c r="H18" s="11">
        <v>18000</v>
      </c>
      <c r="I18" s="204">
        <f t="shared" si="1"/>
        <v>3.2967032967032968E-2</v>
      </c>
      <c r="J18" s="204" t="e">
        <f t="shared" si="2"/>
        <v>#VALUE!</v>
      </c>
      <c r="K18" s="204">
        <f t="shared" si="3"/>
        <v>0.2087912087912088</v>
      </c>
      <c r="L18" s="204">
        <f t="shared" si="4"/>
        <v>0.53846153846153844</v>
      </c>
      <c r="M18" s="204" t="e">
        <f t="shared" si="5"/>
        <v>#VALUE!</v>
      </c>
      <c r="N18" s="204">
        <f t="shared" si="6"/>
        <v>0.19780219780219779</v>
      </c>
    </row>
    <row r="19" spans="1:14" ht="12.45" customHeight="1">
      <c r="A19" s="131" t="s">
        <v>352</v>
      </c>
      <c r="B19" s="105">
        <v>41000</v>
      </c>
      <c r="C19" s="9">
        <v>2000</v>
      </c>
      <c r="D19" s="9">
        <v>1000</v>
      </c>
      <c r="E19" s="13" t="s">
        <v>191</v>
      </c>
      <c r="F19" s="9">
        <v>33000</v>
      </c>
      <c r="G19" s="13" t="s">
        <v>220</v>
      </c>
      <c r="H19" s="9">
        <v>3000</v>
      </c>
      <c r="I19" s="204">
        <f t="shared" si="1"/>
        <v>4.878048780487805E-2</v>
      </c>
      <c r="J19" s="204">
        <f t="shared" si="2"/>
        <v>2.4390243902439025E-2</v>
      </c>
      <c r="K19" s="204" t="e">
        <f t="shared" si="3"/>
        <v>#VALUE!</v>
      </c>
      <c r="L19" s="204">
        <f t="shared" si="4"/>
        <v>0.80487804878048785</v>
      </c>
      <c r="M19" s="204" t="e">
        <f t="shared" si="5"/>
        <v>#VALUE!</v>
      </c>
      <c r="N19" s="204">
        <f t="shared" si="6"/>
        <v>7.3170731707317069E-2</v>
      </c>
    </row>
    <row r="20" spans="1:14" ht="36.75" customHeight="1">
      <c r="A20" s="131" t="s">
        <v>353</v>
      </c>
      <c r="B20" s="132">
        <v>82000</v>
      </c>
      <c r="C20" s="26" t="s">
        <v>191</v>
      </c>
      <c r="D20" s="25">
        <v>2000</v>
      </c>
      <c r="E20" s="25">
        <v>22000</v>
      </c>
      <c r="F20" s="25">
        <v>39000</v>
      </c>
      <c r="G20" s="26" t="s">
        <v>220</v>
      </c>
      <c r="H20" s="25">
        <v>17000</v>
      </c>
      <c r="I20" s="204" t="e">
        <f t="shared" si="1"/>
        <v>#VALUE!</v>
      </c>
      <c r="J20" s="204">
        <f t="shared" si="2"/>
        <v>2.4390243902439025E-2</v>
      </c>
      <c r="K20" s="204">
        <f t="shared" si="3"/>
        <v>0.26829268292682928</v>
      </c>
      <c r="L20" s="204">
        <f t="shared" si="4"/>
        <v>0.47560975609756095</v>
      </c>
      <c r="M20" s="204" t="e">
        <f t="shared" si="5"/>
        <v>#VALUE!</v>
      </c>
      <c r="N20" s="204">
        <f t="shared" si="6"/>
        <v>0.2073170731707317</v>
      </c>
    </row>
    <row r="21" spans="1:14" ht="24.75" customHeight="1">
      <c r="A21" s="131" t="s">
        <v>354</v>
      </c>
      <c r="B21" s="106">
        <v>80000</v>
      </c>
      <c r="C21" s="16" t="s">
        <v>220</v>
      </c>
      <c r="D21" s="16" t="s">
        <v>220</v>
      </c>
      <c r="E21" s="11">
        <v>4000</v>
      </c>
      <c r="F21" s="11">
        <v>18000</v>
      </c>
      <c r="G21" s="11">
        <v>57000</v>
      </c>
      <c r="H21" s="16" t="s">
        <v>191</v>
      </c>
      <c r="I21" s="204" t="e">
        <f t="shared" si="1"/>
        <v>#VALUE!</v>
      </c>
      <c r="J21" s="204" t="e">
        <f t="shared" si="2"/>
        <v>#VALUE!</v>
      </c>
      <c r="K21" s="204">
        <f t="shared" si="3"/>
        <v>0.05</v>
      </c>
      <c r="L21" s="204">
        <f t="shared" si="4"/>
        <v>0.22500000000000001</v>
      </c>
      <c r="M21" s="204">
        <f t="shared" si="5"/>
        <v>0.71250000000000002</v>
      </c>
      <c r="N21" s="204" t="e">
        <f t="shared" si="6"/>
        <v>#VALUE!</v>
      </c>
    </row>
    <row r="22" spans="1:14" ht="12.45" customHeight="1">
      <c r="A22" s="130" t="s">
        <v>230</v>
      </c>
      <c r="B22" s="105">
        <v>712000</v>
      </c>
      <c r="C22" s="9">
        <v>13000</v>
      </c>
      <c r="D22" s="9">
        <v>9000</v>
      </c>
      <c r="E22" s="9">
        <v>110000</v>
      </c>
      <c r="F22" s="9">
        <v>197000</v>
      </c>
      <c r="G22" s="9">
        <v>138000</v>
      </c>
      <c r="H22" s="9">
        <v>245000</v>
      </c>
      <c r="I22" s="204">
        <f t="shared" si="1"/>
        <v>1.8258426966292134E-2</v>
      </c>
      <c r="J22" s="204">
        <f t="shared" si="2"/>
        <v>1.2640449438202247E-2</v>
      </c>
      <c r="K22" s="204">
        <f t="shared" si="3"/>
        <v>0.1544943820224719</v>
      </c>
      <c r="L22" s="204">
        <f t="shared" si="4"/>
        <v>0.27668539325842695</v>
      </c>
      <c r="M22" s="204">
        <f t="shared" si="5"/>
        <v>0.19382022471910113</v>
      </c>
      <c r="N22" s="204">
        <f t="shared" si="6"/>
        <v>0.3441011235955056</v>
      </c>
    </row>
    <row r="23" spans="1:14" ht="12.45" customHeight="1">
      <c r="A23" s="131" t="s">
        <v>355</v>
      </c>
      <c r="B23" s="105">
        <v>47000</v>
      </c>
      <c r="C23" s="13" t="s">
        <v>191</v>
      </c>
      <c r="D23" s="9">
        <v>1000</v>
      </c>
      <c r="E23" s="9">
        <v>8000</v>
      </c>
      <c r="F23" s="9">
        <v>23000</v>
      </c>
      <c r="G23" s="13" t="s">
        <v>220</v>
      </c>
      <c r="H23" s="9">
        <v>8000</v>
      </c>
      <c r="I23" s="204" t="e">
        <f t="shared" si="1"/>
        <v>#VALUE!</v>
      </c>
      <c r="J23" s="204">
        <f t="shared" si="2"/>
        <v>2.1276595744680851E-2</v>
      </c>
      <c r="K23" s="204">
        <f t="shared" si="3"/>
        <v>0.1702127659574468</v>
      </c>
      <c r="L23" s="204">
        <f t="shared" si="4"/>
        <v>0.48936170212765956</v>
      </c>
      <c r="M23" s="204" t="e">
        <f t="shared" si="5"/>
        <v>#VALUE!</v>
      </c>
      <c r="N23" s="204">
        <f t="shared" si="6"/>
        <v>0.1702127659574468</v>
      </c>
    </row>
    <row r="24" spans="1:14" ht="12.45" customHeight="1">
      <c r="A24" s="131" t="s">
        <v>356</v>
      </c>
      <c r="B24" s="105">
        <v>39000</v>
      </c>
      <c r="C24" s="13" t="s">
        <v>220</v>
      </c>
      <c r="D24" s="13" t="s">
        <v>220</v>
      </c>
      <c r="E24" s="9">
        <v>15000</v>
      </c>
      <c r="F24" s="9">
        <v>11000</v>
      </c>
      <c r="G24" s="13" t="s">
        <v>220</v>
      </c>
      <c r="H24" s="9">
        <v>12000</v>
      </c>
      <c r="I24" s="204" t="e">
        <f t="shared" si="1"/>
        <v>#VALUE!</v>
      </c>
      <c r="J24" s="204" t="e">
        <f t="shared" si="2"/>
        <v>#VALUE!</v>
      </c>
      <c r="K24" s="204">
        <f t="shared" si="3"/>
        <v>0.38461538461538464</v>
      </c>
      <c r="L24" s="204">
        <f t="shared" si="4"/>
        <v>0.28205128205128205</v>
      </c>
      <c r="M24" s="204" t="e">
        <f t="shared" si="5"/>
        <v>#VALUE!</v>
      </c>
      <c r="N24" s="204">
        <f t="shared" si="6"/>
        <v>0.30769230769230771</v>
      </c>
    </row>
    <row r="25" spans="1:14" ht="12.45" customHeight="1">
      <c r="A25" s="131" t="s">
        <v>357</v>
      </c>
      <c r="B25" s="105">
        <v>233000</v>
      </c>
      <c r="C25" s="13" t="s">
        <v>220</v>
      </c>
      <c r="D25" s="13" t="s">
        <v>220</v>
      </c>
      <c r="E25" s="9">
        <v>21000</v>
      </c>
      <c r="F25" s="9">
        <v>24000</v>
      </c>
      <c r="G25" s="9">
        <v>2000</v>
      </c>
      <c r="H25" s="9">
        <v>183000</v>
      </c>
      <c r="I25" s="204" t="e">
        <f t="shared" si="1"/>
        <v>#VALUE!</v>
      </c>
      <c r="J25" s="204" t="e">
        <f t="shared" si="2"/>
        <v>#VALUE!</v>
      </c>
      <c r="K25" s="204">
        <f t="shared" si="3"/>
        <v>9.012875536480687E-2</v>
      </c>
      <c r="L25" s="204">
        <f t="shared" si="4"/>
        <v>0.10300429184549356</v>
      </c>
      <c r="M25" s="204">
        <f t="shared" si="5"/>
        <v>8.5836909871244635E-3</v>
      </c>
      <c r="N25" s="204">
        <f t="shared" si="6"/>
        <v>0.78540772532188841</v>
      </c>
    </row>
    <row r="26" spans="1:14" ht="12.45" customHeight="1">
      <c r="A26" s="131" t="s">
        <v>358</v>
      </c>
      <c r="B26" s="105">
        <v>13000</v>
      </c>
      <c r="C26" s="13" t="s">
        <v>220</v>
      </c>
      <c r="D26" s="13" t="s">
        <v>220</v>
      </c>
      <c r="E26" s="9">
        <v>4000</v>
      </c>
      <c r="F26" s="9">
        <v>8000</v>
      </c>
      <c r="G26" s="13" t="s">
        <v>220</v>
      </c>
      <c r="H26" s="9">
        <v>1000</v>
      </c>
      <c r="I26" s="204" t="e">
        <f t="shared" si="1"/>
        <v>#VALUE!</v>
      </c>
      <c r="J26" s="204" t="e">
        <f t="shared" si="2"/>
        <v>#VALUE!</v>
      </c>
      <c r="K26" s="204">
        <f t="shared" si="3"/>
        <v>0.30769230769230771</v>
      </c>
      <c r="L26" s="204">
        <f t="shared" si="4"/>
        <v>0.61538461538461542</v>
      </c>
      <c r="M26" s="204" t="e">
        <f t="shared" si="5"/>
        <v>#VALUE!</v>
      </c>
      <c r="N26" s="204">
        <f t="shared" si="6"/>
        <v>7.6923076923076927E-2</v>
      </c>
    </row>
    <row r="27" spans="1:14" ht="24.75" customHeight="1">
      <c r="A27" s="131" t="s">
        <v>359</v>
      </c>
      <c r="B27" s="106">
        <v>191000</v>
      </c>
      <c r="C27" s="11">
        <v>4000</v>
      </c>
      <c r="D27" s="11">
        <v>6000</v>
      </c>
      <c r="E27" s="11">
        <v>55000</v>
      </c>
      <c r="F27" s="11">
        <v>88000</v>
      </c>
      <c r="G27" s="16" t="s">
        <v>191</v>
      </c>
      <c r="H27" s="11">
        <v>37000</v>
      </c>
      <c r="I27" s="204">
        <f t="shared" si="1"/>
        <v>2.0942408376963352E-2</v>
      </c>
      <c r="J27" s="204">
        <f t="shared" si="2"/>
        <v>3.1413612565445025E-2</v>
      </c>
      <c r="K27" s="204">
        <f t="shared" si="3"/>
        <v>0.2879581151832461</v>
      </c>
      <c r="L27" s="204">
        <f t="shared" si="4"/>
        <v>0.4607329842931937</v>
      </c>
      <c r="M27" s="204" t="e">
        <f t="shared" si="5"/>
        <v>#VALUE!</v>
      </c>
      <c r="N27" s="204">
        <f t="shared" si="6"/>
        <v>0.193717277486911</v>
      </c>
    </row>
    <row r="28" spans="1:14" ht="24.75" customHeight="1">
      <c r="A28" s="131" t="s">
        <v>360</v>
      </c>
      <c r="B28" s="106">
        <v>188000</v>
      </c>
      <c r="C28" s="16" t="s">
        <v>220</v>
      </c>
      <c r="D28" s="16" t="s">
        <v>220</v>
      </c>
      <c r="E28" s="11">
        <v>7000</v>
      </c>
      <c r="F28" s="11">
        <v>43000</v>
      </c>
      <c r="G28" s="11">
        <v>134000</v>
      </c>
      <c r="H28" s="11">
        <v>4000</v>
      </c>
      <c r="I28" s="204" t="e">
        <f t="shared" si="1"/>
        <v>#VALUE!</v>
      </c>
      <c r="J28" s="204" t="e">
        <f t="shared" si="2"/>
        <v>#VALUE!</v>
      </c>
      <c r="K28" s="204">
        <f t="shared" si="3"/>
        <v>3.7234042553191488E-2</v>
      </c>
      <c r="L28" s="204">
        <f t="shared" si="4"/>
        <v>0.22872340425531915</v>
      </c>
      <c r="M28" s="204">
        <f t="shared" si="5"/>
        <v>0.71276595744680848</v>
      </c>
      <c r="N28" s="204">
        <f t="shared" si="6"/>
        <v>2.1276595744680851E-2</v>
      </c>
    </row>
    <row r="29" spans="1:14" ht="12.45" customHeight="1">
      <c r="A29" s="130" t="s">
        <v>231</v>
      </c>
      <c r="B29" s="105">
        <v>1949000</v>
      </c>
      <c r="C29" s="9">
        <v>115000</v>
      </c>
      <c r="D29" s="9">
        <v>503000</v>
      </c>
      <c r="E29" s="9">
        <v>608000</v>
      </c>
      <c r="F29" s="9">
        <v>442000</v>
      </c>
      <c r="G29" s="9">
        <v>38000</v>
      </c>
      <c r="H29" s="9">
        <v>242000</v>
      </c>
      <c r="I29" s="204">
        <f t="shared" si="1"/>
        <v>5.9004617752693687E-2</v>
      </c>
      <c r="J29" s="204">
        <f t="shared" si="2"/>
        <v>0.25808106721395585</v>
      </c>
      <c r="K29" s="204">
        <f t="shared" si="3"/>
        <v>0.31195484864032835</v>
      </c>
      <c r="L29" s="204">
        <f t="shared" si="4"/>
        <v>0.22678296562339662</v>
      </c>
      <c r="M29" s="204">
        <f t="shared" si="5"/>
        <v>1.9497178040020522E-2</v>
      </c>
      <c r="N29" s="204">
        <f t="shared" si="6"/>
        <v>0.1241662390969728</v>
      </c>
    </row>
    <row r="30" spans="1:14" ht="24.75" customHeight="1">
      <c r="A30" s="131" t="s">
        <v>361</v>
      </c>
      <c r="B30" s="106">
        <v>127000</v>
      </c>
      <c r="C30" s="11">
        <v>8000</v>
      </c>
      <c r="D30" s="11">
        <v>32000</v>
      </c>
      <c r="E30" s="11">
        <v>32000</v>
      </c>
      <c r="F30" s="11">
        <v>45000</v>
      </c>
      <c r="G30" s="16" t="s">
        <v>220</v>
      </c>
      <c r="H30" s="11">
        <v>10000</v>
      </c>
      <c r="I30" s="204">
        <f t="shared" si="1"/>
        <v>6.2992125984251968E-2</v>
      </c>
      <c r="J30" s="204">
        <f t="shared" si="2"/>
        <v>0.25196850393700787</v>
      </c>
      <c r="K30" s="204">
        <f t="shared" si="3"/>
        <v>0.25196850393700787</v>
      </c>
      <c r="L30" s="204">
        <f t="shared" si="4"/>
        <v>0.3543307086614173</v>
      </c>
      <c r="M30" s="204" t="e">
        <f t="shared" si="5"/>
        <v>#VALUE!</v>
      </c>
      <c r="N30" s="204">
        <f t="shared" si="6"/>
        <v>7.874015748031496E-2</v>
      </c>
    </row>
    <row r="31" spans="1:14" ht="12.45" customHeight="1">
      <c r="A31" s="131" t="s">
        <v>362</v>
      </c>
      <c r="B31" s="105">
        <v>80000</v>
      </c>
      <c r="C31" s="9">
        <v>5000</v>
      </c>
      <c r="D31" s="9">
        <v>19000</v>
      </c>
      <c r="E31" s="9">
        <v>20000</v>
      </c>
      <c r="F31" s="9">
        <v>20000</v>
      </c>
      <c r="G31" s="13" t="s">
        <v>222</v>
      </c>
      <c r="H31" s="9">
        <v>15000</v>
      </c>
      <c r="I31" s="204">
        <f t="shared" si="1"/>
        <v>6.25E-2</v>
      </c>
      <c r="J31" s="204">
        <f t="shared" si="2"/>
        <v>0.23749999999999999</v>
      </c>
      <c r="K31" s="204">
        <f t="shared" si="3"/>
        <v>0.25</v>
      </c>
      <c r="L31" s="204">
        <f t="shared" si="4"/>
        <v>0.25</v>
      </c>
      <c r="M31" s="204" t="e">
        <f t="shared" si="5"/>
        <v>#VALUE!</v>
      </c>
      <c r="N31" s="204">
        <f t="shared" si="6"/>
        <v>0.1875</v>
      </c>
    </row>
    <row r="32" spans="1:14" ht="24.75" customHeight="1">
      <c r="A32" s="131" t="s">
        <v>363</v>
      </c>
      <c r="B32" s="106">
        <v>303000</v>
      </c>
      <c r="C32" s="11">
        <v>3000</v>
      </c>
      <c r="D32" s="11">
        <v>94000</v>
      </c>
      <c r="E32" s="11">
        <v>116000</v>
      </c>
      <c r="F32" s="11">
        <v>39000</v>
      </c>
      <c r="G32" s="16" t="s">
        <v>220</v>
      </c>
      <c r="H32" s="11">
        <v>48000</v>
      </c>
      <c r="I32" s="204">
        <f t="shared" si="1"/>
        <v>9.9009900990099011E-3</v>
      </c>
      <c r="J32" s="204">
        <f t="shared" si="2"/>
        <v>0.31023102310231021</v>
      </c>
      <c r="K32" s="204">
        <f t="shared" si="3"/>
        <v>0.38283828382838286</v>
      </c>
      <c r="L32" s="204">
        <f t="shared" si="4"/>
        <v>0.12871287128712872</v>
      </c>
      <c r="M32" s="204" t="e">
        <f t="shared" si="5"/>
        <v>#VALUE!</v>
      </c>
      <c r="N32" s="204">
        <f t="shared" si="6"/>
        <v>0.15841584158415842</v>
      </c>
    </row>
    <row r="33" spans="1:14" ht="24.75" customHeight="1">
      <c r="A33" s="131" t="s">
        <v>364</v>
      </c>
      <c r="B33" s="106">
        <v>399000</v>
      </c>
      <c r="C33" s="11">
        <v>62000</v>
      </c>
      <c r="D33" s="11">
        <v>109000</v>
      </c>
      <c r="E33" s="11">
        <v>80000</v>
      </c>
      <c r="F33" s="11">
        <v>108000</v>
      </c>
      <c r="G33" s="16" t="s">
        <v>191</v>
      </c>
      <c r="H33" s="11">
        <v>39000</v>
      </c>
      <c r="I33" s="204">
        <f t="shared" si="1"/>
        <v>0.15538847117794485</v>
      </c>
      <c r="J33" s="204">
        <f t="shared" si="2"/>
        <v>0.27318295739348369</v>
      </c>
      <c r="K33" s="204">
        <f t="shared" si="3"/>
        <v>0.20050125313283207</v>
      </c>
      <c r="L33" s="204">
        <f t="shared" si="4"/>
        <v>0.27067669172932329</v>
      </c>
      <c r="M33" s="204" t="e">
        <f t="shared" si="5"/>
        <v>#VALUE!</v>
      </c>
      <c r="N33" s="204">
        <f t="shared" si="6"/>
        <v>9.7744360902255634E-2</v>
      </c>
    </row>
    <row r="34" spans="1:14" ht="12.45" customHeight="1">
      <c r="A34" s="131" t="s">
        <v>365</v>
      </c>
      <c r="B34" s="105">
        <v>96000</v>
      </c>
      <c r="C34" s="9">
        <v>6000</v>
      </c>
      <c r="D34" s="9">
        <v>18000</v>
      </c>
      <c r="E34" s="9">
        <v>45000</v>
      </c>
      <c r="F34" s="9">
        <v>6000</v>
      </c>
      <c r="G34" s="13" t="s">
        <v>220</v>
      </c>
      <c r="H34" s="9">
        <v>20000</v>
      </c>
      <c r="I34" s="204">
        <f t="shared" si="1"/>
        <v>6.25E-2</v>
      </c>
      <c r="J34" s="204">
        <f t="shared" si="2"/>
        <v>0.1875</v>
      </c>
      <c r="K34" s="204">
        <f t="shared" si="3"/>
        <v>0.46875</v>
      </c>
      <c r="L34" s="204">
        <f t="shared" si="4"/>
        <v>6.25E-2</v>
      </c>
      <c r="M34" s="204" t="e">
        <f t="shared" si="5"/>
        <v>#VALUE!</v>
      </c>
      <c r="N34" s="204">
        <f t="shared" si="6"/>
        <v>0.20833333333333334</v>
      </c>
    </row>
    <row r="35" spans="1:14" ht="12.45" customHeight="1">
      <c r="A35" s="131" t="s">
        <v>366</v>
      </c>
      <c r="B35" s="105">
        <v>388000</v>
      </c>
      <c r="C35" s="9">
        <v>7000</v>
      </c>
      <c r="D35" s="9">
        <v>155000</v>
      </c>
      <c r="E35" s="9">
        <v>94000</v>
      </c>
      <c r="F35" s="9">
        <v>87000</v>
      </c>
      <c r="G35" s="9">
        <v>1000</v>
      </c>
      <c r="H35" s="9">
        <v>44000</v>
      </c>
      <c r="I35" s="204">
        <f t="shared" si="1"/>
        <v>1.804123711340206E-2</v>
      </c>
      <c r="J35" s="204">
        <f t="shared" si="2"/>
        <v>0.39948453608247425</v>
      </c>
      <c r="K35" s="204">
        <f t="shared" si="3"/>
        <v>0.2422680412371134</v>
      </c>
      <c r="L35" s="204">
        <f t="shared" si="4"/>
        <v>0.22422680412371135</v>
      </c>
      <c r="M35" s="204">
        <f t="shared" si="5"/>
        <v>2.5773195876288659E-3</v>
      </c>
      <c r="N35" s="204">
        <f t="shared" si="6"/>
        <v>0.1134020618556701</v>
      </c>
    </row>
    <row r="36" spans="1:14" ht="12.45" customHeight="1">
      <c r="A36" s="131" t="s">
        <v>367</v>
      </c>
      <c r="B36" s="105">
        <v>501000</v>
      </c>
      <c r="C36" s="9">
        <v>23000</v>
      </c>
      <c r="D36" s="9">
        <v>74000</v>
      </c>
      <c r="E36" s="9">
        <v>212000</v>
      </c>
      <c r="F36" s="9">
        <v>123000</v>
      </c>
      <c r="G36" s="9">
        <v>1000</v>
      </c>
      <c r="H36" s="9">
        <v>67000</v>
      </c>
      <c r="I36" s="204">
        <f t="shared" si="1"/>
        <v>4.590818363273453E-2</v>
      </c>
      <c r="J36" s="204">
        <f t="shared" si="2"/>
        <v>0.14770459081836326</v>
      </c>
      <c r="K36" s="204">
        <f t="shared" si="3"/>
        <v>0.42315369261477048</v>
      </c>
      <c r="L36" s="204">
        <f t="shared" si="4"/>
        <v>0.24550898203592814</v>
      </c>
      <c r="M36" s="204">
        <f t="shared" si="5"/>
        <v>1.996007984031936E-3</v>
      </c>
      <c r="N36" s="204">
        <f t="shared" si="6"/>
        <v>0.13373253493013973</v>
      </c>
    </row>
    <row r="37" spans="1:14" ht="24.75" customHeight="1">
      <c r="A37" s="131" t="s">
        <v>368</v>
      </c>
      <c r="B37" s="106">
        <v>55000</v>
      </c>
      <c r="C37" s="16" t="s">
        <v>220</v>
      </c>
      <c r="D37" s="16" t="s">
        <v>220</v>
      </c>
      <c r="E37" s="11">
        <v>8000</v>
      </c>
      <c r="F37" s="11">
        <v>12000</v>
      </c>
      <c r="G37" s="11">
        <v>33000</v>
      </c>
      <c r="H37" s="16" t="s">
        <v>222</v>
      </c>
      <c r="I37" s="204" t="e">
        <f t="shared" si="1"/>
        <v>#VALUE!</v>
      </c>
      <c r="J37" s="204" t="e">
        <f t="shared" si="2"/>
        <v>#VALUE!</v>
      </c>
      <c r="K37" s="204">
        <f t="shared" si="3"/>
        <v>0.14545454545454545</v>
      </c>
      <c r="L37" s="204">
        <f t="shared" si="4"/>
        <v>0.21818181818181817</v>
      </c>
      <c r="M37" s="204">
        <f t="shared" si="5"/>
        <v>0.6</v>
      </c>
      <c r="N37" s="204" t="e">
        <f t="shared" si="6"/>
        <v>#VALUE!</v>
      </c>
    </row>
    <row r="38" spans="1:14" ht="12.45" customHeight="1">
      <c r="A38" s="129" t="s">
        <v>175</v>
      </c>
      <c r="B38" s="105">
        <v>9522000</v>
      </c>
      <c r="C38" s="9">
        <v>330000</v>
      </c>
      <c r="D38" s="9">
        <v>248000</v>
      </c>
      <c r="E38" s="9">
        <v>1665000</v>
      </c>
      <c r="F38" s="9">
        <v>568000</v>
      </c>
      <c r="G38" s="9">
        <v>1138000</v>
      </c>
      <c r="H38" s="9">
        <v>5573000</v>
      </c>
      <c r="I38" s="204">
        <f t="shared" si="1"/>
        <v>3.4656584751102712E-2</v>
      </c>
      <c r="J38" s="204">
        <f t="shared" si="2"/>
        <v>2.6044948540222643E-2</v>
      </c>
      <c r="K38" s="204">
        <f t="shared" si="3"/>
        <v>0.17485822306238186</v>
      </c>
      <c r="L38" s="204">
        <f t="shared" si="4"/>
        <v>5.9651333753413145E-2</v>
      </c>
      <c r="M38" s="204">
        <f t="shared" si="5"/>
        <v>0.11951270741440874</v>
      </c>
      <c r="N38" s="204">
        <f t="shared" si="6"/>
        <v>0.5852762024784709</v>
      </c>
    </row>
    <row r="39" spans="1:14" ht="12.45" customHeight="1">
      <c r="A39" s="130" t="s">
        <v>369</v>
      </c>
      <c r="B39" s="105">
        <v>6136000</v>
      </c>
      <c r="C39" s="9">
        <v>32000</v>
      </c>
      <c r="D39" s="9">
        <v>10000</v>
      </c>
      <c r="E39" s="9">
        <v>560000</v>
      </c>
      <c r="F39" s="9">
        <v>248000</v>
      </c>
      <c r="G39" s="9">
        <v>245000</v>
      </c>
      <c r="H39" s="9">
        <v>5039000</v>
      </c>
      <c r="I39" s="204">
        <f t="shared" si="1"/>
        <v>5.2151238591916557E-3</v>
      </c>
      <c r="J39" s="204">
        <f t="shared" si="2"/>
        <v>1.6297262059973925E-3</v>
      </c>
      <c r="K39" s="204">
        <f t="shared" si="3"/>
        <v>9.126466753585398E-2</v>
      </c>
      <c r="L39" s="204">
        <f t="shared" si="4"/>
        <v>4.0417209908735333E-2</v>
      </c>
      <c r="M39" s="204">
        <f t="shared" si="5"/>
        <v>3.9928292046936112E-2</v>
      </c>
      <c r="N39" s="204">
        <f t="shared" si="6"/>
        <v>0.82121903520208606</v>
      </c>
    </row>
    <row r="40" spans="1:14" ht="12.45" customHeight="1">
      <c r="A40" s="130" t="s">
        <v>370</v>
      </c>
      <c r="B40" s="105">
        <v>1135000</v>
      </c>
      <c r="C40" s="9">
        <v>62000</v>
      </c>
      <c r="D40" s="9">
        <v>37000</v>
      </c>
      <c r="E40" s="9">
        <v>789000</v>
      </c>
      <c r="F40" s="9">
        <v>45000</v>
      </c>
      <c r="G40" s="9">
        <v>2000</v>
      </c>
      <c r="H40" s="9">
        <v>200000</v>
      </c>
      <c r="I40" s="204">
        <f t="shared" si="1"/>
        <v>5.462555066079295E-2</v>
      </c>
      <c r="J40" s="204">
        <f t="shared" si="2"/>
        <v>3.2599118942731278E-2</v>
      </c>
      <c r="K40" s="204">
        <f t="shared" si="3"/>
        <v>0.69515418502202642</v>
      </c>
      <c r="L40" s="204">
        <f t="shared" si="4"/>
        <v>3.9647577092511016E-2</v>
      </c>
      <c r="M40" s="204">
        <f t="shared" si="5"/>
        <v>1.762114537444934E-3</v>
      </c>
      <c r="N40" s="204">
        <f t="shared" si="6"/>
        <v>0.1762114537444934</v>
      </c>
    </row>
    <row r="41" spans="1:14">
      <c r="A41" s="130" t="s">
        <v>371</v>
      </c>
      <c r="B41" s="107">
        <v>915000</v>
      </c>
      <c r="C41" s="19" t="s">
        <v>220</v>
      </c>
      <c r="D41" s="19" t="s">
        <v>220</v>
      </c>
      <c r="E41" s="7">
        <v>18000</v>
      </c>
      <c r="F41" s="19" t="s">
        <v>191</v>
      </c>
      <c r="G41" s="7">
        <v>887000</v>
      </c>
      <c r="H41" s="7">
        <v>3000</v>
      </c>
      <c r="I41" s="204" t="e">
        <f>C41/$B41</f>
        <v>#VALUE!</v>
      </c>
      <c r="J41" s="204" t="e">
        <f t="shared" si="2"/>
        <v>#VALUE!</v>
      </c>
      <c r="K41" s="204">
        <f t="shared" si="2"/>
        <v>1.9672131147540985E-2</v>
      </c>
      <c r="L41" s="204" t="e">
        <f t="shared" si="2"/>
        <v>#VALUE!</v>
      </c>
      <c r="M41" s="204">
        <f t="shared" si="2"/>
        <v>0.96939890710382515</v>
      </c>
      <c r="N41" s="204">
        <f t="shared" si="2"/>
        <v>3.2786885245901639E-3</v>
      </c>
    </row>
    <row r="42" spans="1:14">
      <c r="A42" s="130" t="s">
        <v>372</v>
      </c>
      <c r="B42" s="106">
        <v>1088000</v>
      </c>
      <c r="C42" s="11">
        <v>224000</v>
      </c>
      <c r="D42" s="11">
        <v>116000</v>
      </c>
      <c r="E42" s="11">
        <v>237000</v>
      </c>
      <c r="F42" s="11">
        <v>237000</v>
      </c>
      <c r="G42" s="11">
        <v>3000</v>
      </c>
      <c r="H42" s="11">
        <v>271000</v>
      </c>
      <c r="I42" s="204">
        <f t="shared" ref="I42:N74" si="7">C42/$B42</f>
        <v>0.20588235294117646</v>
      </c>
      <c r="J42" s="204">
        <f t="shared" si="7"/>
        <v>0.10661764705882353</v>
      </c>
      <c r="K42" s="204">
        <f t="shared" si="7"/>
        <v>0.21783088235294118</v>
      </c>
      <c r="L42" s="204">
        <f t="shared" si="7"/>
        <v>0.21783088235294118</v>
      </c>
      <c r="M42" s="204">
        <f t="shared" si="7"/>
        <v>2.7573529411764708E-3</v>
      </c>
      <c r="N42" s="204">
        <f t="shared" si="7"/>
        <v>0.24908088235294118</v>
      </c>
    </row>
    <row r="43" spans="1:14">
      <c r="A43" s="130" t="s">
        <v>373</v>
      </c>
      <c r="B43" s="105">
        <v>248000</v>
      </c>
      <c r="C43" s="9">
        <v>12000</v>
      </c>
      <c r="D43" s="9">
        <v>85000</v>
      </c>
      <c r="E43" s="9">
        <v>61000</v>
      </c>
      <c r="F43" s="9">
        <v>30000</v>
      </c>
      <c r="G43" s="13" t="s">
        <v>220</v>
      </c>
      <c r="H43" s="9">
        <v>59000</v>
      </c>
      <c r="I43" s="204">
        <f t="shared" si="7"/>
        <v>4.8387096774193547E-2</v>
      </c>
      <c r="J43" s="204">
        <f t="shared" si="7"/>
        <v>0.34274193548387094</v>
      </c>
      <c r="K43" s="204">
        <f t="shared" si="7"/>
        <v>0.24596774193548387</v>
      </c>
      <c r="L43" s="204">
        <f t="shared" si="7"/>
        <v>0.12096774193548387</v>
      </c>
      <c r="M43" s="204" t="e">
        <f t="shared" si="7"/>
        <v>#VALUE!</v>
      </c>
      <c r="N43" s="204">
        <f t="shared" si="7"/>
        <v>0.23790322580645162</v>
      </c>
    </row>
    <row r="44" spans="1:14">
      <c r="A44" s="129" t="s">
        <v>176</v>
      </c>
      <c r="B44" s="105">
        <v>34349000</v>
      </c>
      <c r="C44" s="9">
        <v>357000</v>
      </c>
      <c r="D44" s="9">
        <v>451000</v>
      </c>
      <c r="E44" s="9">
        <v>18923000</v>
      </c>
      <c r="F44" s="9">
        <v>1491000</v>
      </c>
      <c r="G44" s="9">
        <v>5068000</v>
      </c>
      <c r="H44" s="9">
        <v>8058000</v>
      </c>
      <c r="I44" s="204">
        <f t="shared" si="7"/>
        <v>1.0393315671489708E-2</v>
      </c>
      <c r="J44" s="204">
        <f t="shared" si="7"/>
        <v>1.3129931002358148E-2</v>
      </c>
      <c r="K44" s="204">
        <f t="shared" si="7"/>
        <v>0.55090395644705814</v>
      </c>
      <c r="L44" s="204">
        <f t="shared" si="7"/>
        <v>4.3407377216221725E-2</v>
      </c>
      <c r="M44" s="204">
        <f t="shared" si="7"/>
        <v>0.14754432443448134</v>
      </c>
      <c r="N44" s="204">
        <f t="shared" si="7"/>
        <v>0.23459198229933914</v>
      </c>
    </row>
    <row r="45" spans="1:14">
      <c r="A45" s="130" t="s">
        <v>374</v>
      </c>
      <c r="B45" s="105">
        <v>4985000</v>
      </c>
      <c r="C45" s="9">
        <v>62000</v>
      </c>
      <c r="D45" s="9">
        <v>73000</v>
      </c>
      <c r="E45" s="9">
        <v>4122000</v>
      </c>
      <c r="F45" s="9">
        <v>189000</v>
      </c>
      <c r="G45" s="9">
        <v>32000</v>
      </c>
      <c r="H45" s="9">
        <v>506000</v>
      </c>
      <c r="I45" s="204">
        <f t="shared" si="7"/>
        <v>1.2437311935807422E-2</v>
      </c>
      <c r="J45" s="204">
        <f t="shared" si="7"/>
        <v>1.4643931795386159E-2</v>
      </c>
      <c r="K45" s="204">
        <f t="shared" si="7"/>
        <v>0.82688064192577737</v>
      </c>
      <c r="L45" s="204">
        <f t="shared" si="7"/>
        <v>3.7913741223671013E-2</v>
      </c>
      <c r="M45" s="204">
        <f t="shared" si="7"/>
        <v>6.4192577733199595E-3</v>
      </c>
      <c r="N45" s="204">
        <f t="shared" si="7"/>
        <v>0.10150451354062187</v>
      </c>
    </row>
    <row r="46" spans="1:14">
      <c r="A46" s="130" t="s">
        <v>406</v>
      </c>
      <c r="B46" s="106">
        <v>7868000</v>
      </c>
      <c r="C46" s="11">
        <v>128000</v>
      </c>
      <c r="D46" s="11">
        <v>130000</v>
      </c>
      <c r="E46" s="11">
        <v>6042000</v>
      </c>
      <c r="F46" s="11">
        <v>385000</v>
      </c>
      <c r="G46" s="11">
        <v>94000</v>
      </c>
      <c r="H46" s="11">
        <v>1088000</v>
      </c>
      <c r="I46" s="204">
        <f t="shared" si="7"/>
        <v>1.626842907981698E-2</v>
      </c>
      <c r="J46" s="204">
        <f t="shared" si="7"/>
        <v>1.652262328418912E-2</v>
      </c>
      <c r="K46" s="204">
        <f t="shared" si="7"/>
        <v>0.76792069140823593</v>
      </c>
      <c r="L46" s="204">
        <f t="shared" si="7"/>
        <v>4.8932384341637013E-2</v>
      </c>
      <c r="M46" s="204">
        <f t="shared" si="7"/>
        <v>1.1947127605490595E-2</v>
      </c>
      <c r="N46" s="204">
        <f t="shared" si="7"/>
        <v>0.13828164717844432</v>
      </c>
    </row>
    <row r="47" spans="1:14">
      <c r="A47" s="130" t="s">
        <v>376</v>
      </c>
      <c r="B47" s="105">
        <v>3919000</v>
      </c>
      <c r="C47" s="13" t="s">
        <v>220</v>
      </c>
      <c r="D47" s="13" t="s">
        <v>220</v>
      </c>
      <c r="E47" s="9">
        <v>129000</v>
      </c>
      <c r="F47" s="9">
        <v>45000</v>
      </c>
      <c r="G47" s="9">
        <v>3686000</v>
      </c>
      <c r="H47" s="9">
        <v>59000</v>
      </c>
      <c r="I47" s="204" t="e">
        <f t="shared" si="7"/>
        <v>#VALUE!</v>
      </c>
      <c r="J47" s="204" t="e">
        <f t="shared" si="7"/>
        <v>#VALUE!</v>
      </c>
      <c r="K47" s="204">
        <f t="shared" si="7"/>
        <v>3.29165603470273E-2</v>
      </c>
      <c r="L47" s="204">
        <f t="shared" si="7"/>
        <v>1.1482521051288594E-2</v>
      </c>
      <c r="M47" s="204">
        <f t="shared" si="7"/>
        <v>0.94054605766777244</v>
      </c>
      <c r="N47" s="204">
        <f t="shared" si="7"/>
        <v>1.5054860933911712E-2</v>
      </c>
    </row>
    <row r="48" spans="1:14">
      <c r="A48" s="130" t="s">
        <v>377</v>
      </c>
      <c r="B48" s="106">
        <v>559000</v>
      </c>
      <c r="C48" s="16" t="s">
        <v>220</v>
      </c>
      <c r="D48" s="16" t="s">
        <v>220</v>
      </c>
      <c r="E48" s="11">
        <v>37000</v>
      </c>
      <c r="F48" s="11">
        <v>38000</v>
      </c>
      <c r="G48" s="11">
        <v>453000</v>
      </c>
      <c r="H48" s="11">
        <v>30000</v>
      </c>
      <c r="I48" s="204" t="e">
        <f t="shared" si="7"/>
        <v>#VALUE!</v>
      </c>
      <c r="J48" s="204" t="e">
        <f t="shared" si="7"/>
        <v>#VALUE!</v>
      </c>
      <c r="K48" s="204">
        <f t="shared" si="7"/>
        <v>6.6189624329159216E-2</v>
      </c>
      <c r="L48" s="204">
        <f t="shared" si="7"/>
        <v>6.7978533094812166E-2</v>
      </c>
      <c r="M48" s="204">
        <f t="shared" si="7"/>
        <v>0.8103756708407871</v>
      </c>
      <c r="N48" s="204">
        <f t="shared" si="7"/>
        <v>5.3667262969588549E-2</v>
      </c>
    </row>
    <row r="49" spans="1:14">
      <c r="A49" s="130" t="s">
        <v>378</v>
      </c>
      <c r="B49" s="106">
        <v>2072000</v>
      </c>
      <c r="C49" s="16" t="s">
        <v>191</v>
      </c>
      <c r="D49" s="16" t="s">
        <v>191</v>
      </c>
      <c r="E49" s="11">
        <v>406000</v>
      </c>
      <c r="F49" s="11">
        <v>66000</v>
      </c>
      <c r="G49" s="11">
        <v>206000</v>
      </c>
      <c r="H49" s="11">
        <v>1388000</v>
      </c>
      <c r="I49" s="204" t="e">
        <f t="shared" si="7"/>
        <v>#VALUE!</v>
      </c>
      <c r="J49" s="204" t="e">
        <f t="shared" si="7"/>
        <v>#VALUE!</v>
      </c>
      <c r="K49" s="204">
        <f t="shared" si="7"/>
        <v>0.19594594594594594</v>
      </c>
      <c r="L49" s="204">
        <f t="shared" si="7"/>
        <v>3.1853281853281852E-2</v>
      </c>
      <c r="M49" s="204">
        <f t="shared" si="7"/>
        <v>9.9420849420849416E-2</v>
      </c>
      <c r="N49" s="204">
        <f t="shared" si="7"/>
        <v>0.66988416988416988</v>
      </c>
    </row>
    <row r="50" spans="1:14">
      <c r="A50" s="130" t="s">
        <v>379</v>
      </c>
      <c r="B50" s="106">
        <v>4448000</v>
      </c>
      <c r="C50" s="11">
        <v>16000</v>
      </c>
      <c r="D50" s="11">
        <v>64000</v>
      </c>
      <c r="E50" s="11">
        <v>3742000</v>
      </c>
      <c r="F50" s="11">
        <v>122000</v>
      </c>
      <c r="G50" s="16" t="s">
        <v>191</v>
      </c>
      <c r="H50" s="11">
        <v>483000</v>
      </c>
      <c r="I50" s="204">
        <f t="shared" si="7"/>
        <v>3.5971223021582736E-3</v>
      </c>
      <c r="J50" s="204">
        <f t="shared" si="7"/>
        <v>1.4388489208633094E-2</v>
      </c>
      <c r="K50" s="204">
        <f t="shared" si="7"/>
        <v>0.84127697841726623</v>
      </c>
      <c r="L50" s="204">
        <f t="shared" si="7"/>
        <v>2.7428057553956834E-2</v>
      </c>
      <c r="M50" s="204" t="e">
        <f t="shared" si="7"/>
        <v>#VALUE!</v>
      </c>
      <c r="N50" s="204">
        <f t="shared" si="7"/>
        <v>0.10858812949640288</v>
      </c>
    </row>
    <row r="51" spans="1:14">
      <c r="A51" s="130" t="s">
        <v>380</v>
      </c>
      <c r="B51" s="106">
        <v>1408000</v>
      </c>
      <c r="C51" s="11">
        <v>41000</v>
      </c>
      <c r="D51" s="11">
        <v>105000</v>
      </c>
      <c r="E51" s="11">
        <v>381000</v>
      </c>
      <c r="F51" s="11">
        <v>200000</v>
      </c>
      <c r="G51" s="11">
        <v>47000</v>
      </c>
      <c r="H51" s="11">
        <v>634000</v>
      </c>
      <c r="I51" s="204">
        <f t="shared" si="7"/>
        <v>2.911931818181818E-2</v>
      </c>
      <c r="J51" s="204">
        <f t="shared" si="7"/>
        <v>7.4573863636363633E-2</v>
      </c>
      <c r="K51" s="204">
        <f t="shared" si="7"/>
        <v>0.27059659090909088</v>
      </c>
      <c r="L51" s="204">
        <f t="shared" si="7"/>
        <v>0.14204545454545456</v>
      </c>
      <c r="M51" s="204">
        <f t="shared" si="7"/>
        <v>3.3380681818181816E-2</v>
      </c>
      <c r="N51" s="204">
        <f t="shared" si="7"/>
        <v>0.45028409090909088</v>
      </c>
    </row>
    <row r="52" spans="1:14">
      <c r="A52" s="130" t="s">
        <v>381</v>
      </c>
      <c r="B52" s="105">
        <v>9089000</v>
      </c>
      <c r="C52" s="9">
        <v>104000</v>
      </c>
      <c r="D52" s="9">
        <v>76000</v>
      </c>
      <c r="E52" s="9">
        <v>4064000</v>
      </c>
      <c r="F52" s="9">
        <v>447000</v>
      </c>
      <c r="G52" s="9">
        <v>529000</v>
      </c>
      <c r="H52" s="9">
        <v>3870000</v>
      </c>
      <c r="I52" s="204">
        <f t="shared" si="7"/>
        <v>1.1442402904609968E-2</v>
      </c>
      <c r="J52" s="204">
        <f t="shared" si="7"/>
        <v>8.3617559687534388E-3</v>
      </c>
      <c r="K52" s="204">
        <f t="shared" si="7"/>
        <v>0.44713389811860493</v>
      </c>
      <c r="L52" s="204">
        <f t="shared" si="7"/>
        <v>4.9180327868852458E-2</v>
      </c>
      <c r="M52" s="204">
        <f t="shared" si="7"/>
        <v>5.8202222466718009E-2</v>
      </c>
      <c r="N52" s="204">
        <f t="shared" si="7"/>
        <v>0.42578941577731322</v>
      </c>
    </row>
    <row r="53" spans="1:14">
      <c r="A53" s="125" t="s">
        <v>218</v>
      </c>
      <c r="B53" s="124">
        <v>31688000</v>
      </c>
      <c r="C53" s="119">
        <v>1943000</v>
      </c>
      <c r="D53" s="119">
        <v>958000</v>
      </c>
      <c r="E53" s="119">
        <v>15513000</v>
      </c>
      <c r="F53" s="119">
        <v>2024000</v>
      </c>
      <c r="G53" s="119">
        <v>2967000</v>
      </c>
      <c r="H53" s="119">
        <v>8284000</v>
      </c>
      <c r="I53" s="204">
        <f t="shared" si="7"/>
        <v>6.1316586720525118E-2</v>
      </c>
      <c r="J53" s="204">
        <f t="shared" si="7"/>
        <v>3.0232264579651603E-2</v>
      </c>
      <c r="K53" s="204">
        <f t="shared" si="7"/>
        <v>0.48955440545316842</v>
      </c>
      <c r="L53" s="204">
        <f t="shared" si="7"/>
        <v>6.3872759404190863E-2</v>
      </c>
      <c r="M53" s="204">
        <f t="shared" si="7"/>
        <v>9.3631658672052517E-2</v>
      </c>
      <c r="N53" s="204">
        <f t="shared" si="7"/>
        <v>0.26142388285786416</v>
      </c>
    </row>
    <row r="54" spans="1:14">
      <c r="A54" s="120" t="s">
        <v>174</v>
      </c>
      <c r="B54" s="105">
        <v>4438000</v>
      </c>
      <c r="C54" s="9">
        <v>1458000</v>
      </c>
      <c r="D54" s="9">
        <v>507000</v>
      </c>
      <c r="E54" s="9">
        <v>1028000</v>
      </c>
      <c r="F54" s="9">
        <v>793000</v>
      </c>
      <c r="G54" s="9">
        <v>77000</v>
      </c>
      <c r="H54" s="9">
        <v>575000</v>
      </c>
      <c r="I54" s="204">
        <f t="shared" si="7"/>
        <v>0.32852636322667866</v>
      </c>
      <c r="J54" s="204">
        <f t="shared" si="7"/>
        <v>0.1142406489409644</v>
      </c>
      <c r="K54" s="204">
        <f t="shared" si="7"/>
        <v>0.2316358720144209</v>
      </c>
      <c r="L54" s="204">
        <f t="shared" si="7"/>
        <v>0.17868409193330329</v>
      </c>
      <c r="M54" s="204">
        <f t="shared" si="7"/>
        <v>1.7350157728706624E-2</v>
      </c>
      <c r="N54" s="204">
        <f t="shared" si="7"/>
        <v>0.1295628661559261</v>
      </c>
    </row>
    <row r="55" spans="1:14" ht="24">
      <c r="A55" s="121" t="s">
        <v>227</v>
      </c>
      <c r="B55" s="106">
        <v>295000</v>
      </c>
      <c r="C55" s="11">
        <v>5000</v>
      </c>
      <c r="D55" s="11">
        <v>3000</v>
      </c>
      <c r="E55" s="11">
        <v>69000</v>
      </c>
      <c r="F55" s="11">
        <v>158000</v>
      </c>
      <c r="G55" s="11">
        <v>13000</v>
      </c>
      <c r="H55" s="11">
        <v>46000</v>
      </c>
      <c r="I55" s="204">
        <f t="shared" si="7"/>
        <v>1.6949152542372881E-2</v>
      </c>
      <c r="J55" s="204">
        <f t="shared" si="7"/>
        <v>1.0169491525423728E-2</v>
      </c>
      <c r="K55" s="204">
        <f t="shared" si="7"/>
        <v>0.23389830508474577</v>
      </c>
      <c r="L55" s="204">
        <f t="shared" si="7"/>
        <v>0.53559322033898304</v>
      </c>
      <c r="M55" s="204">
        <f t="shared" si="7"/>
        <v>4.4067796610169491E-2</v>
      </c>
      <c r="N55" s="204">
        <f t="shared" si="7"/>
        <v>0.15593220338983052</v>
      </c>
    </row>
    <row r="56" spans="1:14">
      <c r="A56" s="122" t="s">
        <v>343</v>
      </c>
      <c r="B56" s="106">
        <v>34000</v>
      </c>
      <c r="C56" s="16" t="s">
        <v>220</v>
      </c>
      <c r="D56" s="16" t="s">
        <v>220</v>
      </c>
      <c r="E56" s="11">
        <v>10000</v>
      </c>
      <c r="F56" s="11">
        <v>16000</v>
      </c>
      <c r="G56" s="16" t="s">
        <v>220</v>
      </c>
      <c r="H56" s="11">
        <v>8000</v>
      </c>
      <c r="I56" s="204" t="e">
        <f t="shared" si="7"/>
        <v>#VALUE!</v>
      </c>
      <c r="J56" s="204" t="e">
        <f t="shared" si="7"/>
        <v>#VALUE!</v>
      </c>
      <c r="K56" s="204">
        <f t="shared" si="7"/>
        <v>0.29411764705882354</v>
      </c>
      <c r="L56" s="204">
        <f t="shared" si="7"/>
        <v>0.47058823529411764</v>
      </c>
      <c r="M56" s="204" t="e">
        <f t="shared" si="7"/>
        <v>#VALUE!</v>
      </c>
      <c r="N56" s="204">
        <f t="shared" si="7"/>
        <v>0.23529411764705882</v>
      </c>
    </row>
    <row r="57" spans="1:14">
      <c r="A57" s="122" t="s">
        <v>344</v>
      </c>
      <c r="B57" s="106">
        <v>216000</v>
      </c>
      <c r="C57" s="11">
        <v>4000</v>
      </c>
      <c r="D57" s="11">
        <v>3000</v>
      </c>
      <c r="E57" s="11">
        <v>43000</v>
      </c>
      <c r="F57" s="11">
        <v>127000</v>
      </c>
      <c r="G57" s="11">
        <v>4000</v>
      </c>
      <c r="H57" s="11">
        <v>35000</v>
      </c>
      <c r="I57" s="204">
        <f t="shared" si="7"/>
        <v>1.8518518518518517E-2</v>
      </c>
      <c r="J57" s="204">
        <f t="shared" si="7"/>
        <v>1.3888888888888888E-2</v>
      </c>
      <c r="K57" s="204">
        <f t="shared" si="7"/>
        <v>0.19907407407407407</v>
      </c>
      <c r="L57" s="204">
        <f t="shared" si="7"/>
        <v>0.58796296296296291</v>
      </c>
      <c r="M57" s="204">
        <f t="shared" si="7"/>
        <v>1.8518518518518517E-2</v>
      </c>
      <c r="N57" s="204">
        <f t="shared" si="7"/>
        <v>0.16203703703703703</v>
      </c>
    </row>
    <row r="58" spans="1:14">
      <c r="A58" s="185" t="s">
        <v>345</v>
      </c>
      <c r="B58" s="105">
        <v>26000</v>
      </c>
      <c r="C58" s="13" t="s">
        <v>220</v>
      </c>
      <c r="D58" s="13" t="s">
        <v>222</v>
      </c>
      <c r="E58" s="9">
        <v>17000</v>
      </c>
      <c r="F58" s="9">
        <v>6000</v>
      </c>
      <c r="G58" s="13" t="s">
        <v>220</v>
      </c>
      <c r="H58" s="9">
        <v>3000</v>
      </c>
      <c r="I58" s="204" t="e">
        <f t="shared" si="7"/>
        <v>#VALUE!</v>
      </c>
      <c r="J58" s="204" t="e">
        <f t="shared" si="7"/>
        <v>#VALUE!</v>
      </c>
      <c r="K58" s="204">
        <f t="shared" si="7"/>
        <v>0.65384615384615385</v>
      </c>
      <c r="L58" s="204">
        <f t="shared" si="7"/>
        <v>0.23076923076923078</v>
      </c>
      <c r="M58" s="204" t="e">
        <f t="shared" si="7"/>
        <v>#VALUE!</v>
      </c>
      <c r="N58" s="204">
        <f t="shared" si="7"/>
        <v>0.11538461538461539</v>
      </c>
    </row>
    <row r="59" spans="1:14" ht="24">
      <c r="A59" s="122" t="s">
        <v>346</v>
      </c>
      <c r="B59" s="106">
        <v>18000</v>
      </c>
      <c r="C59" s="16" t="s">
        <v>220</v>
      </c>
      <c r="D59" s="16" t="s">
        <v>220</v>
      </c>
      <c r="E59" s="16" t="s">
        <v>220</v>
      </c>
      <c r="F59" s="11">
        <v>9000</v>
      </c>
      <c r="G59" s="11">
        <v>9000</v>
      </c>
      <c r="H59" s="16" t="s">
        <v>220</v>
      </c>
      <c r="I59" s="204" t="e">
        <f t="shared" si="7"/>
        <v>#VALUE!</v>
      </c>
      <c r="J59" s="204" t="e">
        <f t="shared" si="7"/>
        <v>#VALUE!</v>
      </c>
      <c r="K59" s="204" t="e">
        <f t="shared" si="7"/>
        <v>#VALUE!</v>
      </c>
      <c r="L59" s="204">
        <f t="shared" si="7"/>
        <v>0.5</v>
      </c>
      <c r="M59" s="204">
        <f t="shared" si="7"/>
        <v>0.5</v>
      </c>
      <c r="N59" s="204" t="e">
        <f t="shared" si="7"/>
        <v>#VALUE!</v>
      </c>
    </row>
    <row r="60" spans="1:14">
      <c r="A60" s="121" t="s">
        <v>228</v>
      </c>
      <c r="B60" s="106">
        <v>2574000</v>
      </c>
      <c r="C60" s="11">
        <v>1380000</v>
      </c>
      <c r="D60" s="11">
        <v>157000</v>
      </c>
      <c r="E60" s="11">
        <v>467000</v>
      </c>
      <c r="F60" s="11">
        <v>268000</v>
      </c>
      <c r="G60" s="11">
        <v>35000</v>
      </c>
      <c r="H60" s="11">
        <v>266000</v>
      </c>
      <c r="I60" s="204">
        <f t="shared" si="7"/>
        <v>0.53613053613053618</v>
      </c>
      <c r="J60" s="204">
        <f t="shared" si="7"/>
        <v>6.0994560994560992E-2</v>
      </c>
      <c r="K60" s="204">
        <f t="shared" si="7"/>
        <v>0.18142968142968144</v>
      </c>
      <c r="L60" s="204">
        <f t="shared" si="7"/>
        <v>0.10411810411810411</v>
      </c>
      <c r="M60" s="204">
        <f t="shared" si="7"/>
        <v>1.3597513597513598E-2</v>
      </c>
      <c r="N60" s="204">
        <f t="shared" si="7"/>
        <v>0.10334110334110334</v>
      </c>
    </row>
    <row r="61" spans="1:14">
      <c r="A61" s="122" t="s">
        <v>347</v>
      </c>
      <c r="B61" s="106">
        <v>2438000</v>
      </c>
      <c r="C61" s="11">
        <v>1361000</v>
      </c>
      <c r="D61" s="11">
        <v>139000</v>
      </c>
      <c r="E61" s="11">
        <v>434000</v>
      </c>
      <c r="F61" s="11">
        <v>234000</v>
      </c>
      <c r="G61" s="11">
        <v>24000</v>
      </c>
      <c r="H61" s="11">
        <v>247000</v>
      </c>
      <c r="I61" s="204">
        <f t="shared" si="7"/>
        <v>0.55824446267432326</v>
      </c>
      <c r="J61" s="204">
        <f t="shared" si="7"/>
        <v>5.7013945857260051E-2</v>
      </c>
      <c r="K61" s="204">
        <f t="shared" si="7"/>
        <v>0.17801476620180476</v>
      </c>
      <c r="L61" s="204">
        <f t="shared" si="7"/>
        <v>9.5980311730926984E-2</v>
      </c>
      <c r="M61" s="204">
        <f t="shared" si="7"/>
        <v>9.8441345365053324E-3</v>
      </c>
      <c r="N61" s="204">
        <f t="shared" si="7"/>
        <v>0.10131255127153405</v>
      </c>
    </row>
    <row r="62" spans="1:14">
      <c r="A62" s="122" t="s">
        <v>348</v>
      </c>
      <c r="B62" s="105">
        <v>124000</v>
      </c>
      <c r="C62" s="9">
        <v>19000</v>
      </c>
      <c r="D62" s="9">
        <v>18000</v>
      </c>
      <c r="E62" s="9">
        <v>34000</v>
      </c>
      <c r="F62" s="9">
        <v>33000</v>
      </c>
      <c r="G62" s="13" t="s">
        <v>220</v>
      </c>
      <c r="H62" s="9">
        <v>19000</v>
      </c>
      <c r="I62" s="204">
        <f t="shared" si="7"/>
        <v>0.15322580645161291</v>
      </c>
      <c r="J62" s="204">
        <f t="shared" si="7"/>
        <v>0.14516129032258066</v>
      </c>
      <c r="K62" s="204">
        <f t="shared" si="7"/>
        <v>0.27419354838709675</v>
      </c>
      <c r="L62" s="204">
        <f t="shared" si="7"/>
        <v>0.2661290322580645</v>
      </c>
      <c r="M62" s="204" t="e">
        <f t="shared" si="7"/>
        <v>#VALUE!</v>
      </c>
      <c r="N62" s="204">
        <f t="shared" si="7"/>
        <v>0.15322580645161291</v>
      </c>
    </row>
    <row r="63" spans="1:14" ht="24">
      <c r="A63" s="122" t="s">
        <v>349</v>
      </c>
      <c r="B63" s="106">
        <v>11000</v>
      </c>
      <c r="C63" s="16" t="s">
        <v>220</v>
      </c>
      <c r="D63" s="16" t="s">
        <v>220</v>
      </c>
      <c r="E63" s="16" t="s">
        <v>220</v>
      </c>
      <c r="F63" s="11">
        <v>1000</v>
      </c>
      <c r="G63" s="11">
        <v>10000</v>
      </c>
      <c r="H63" s="16" t="s">
        <v>220</v>
      </c>
      <c r="I63" s="204" t="e">
        <f t="shared" si="7"/>
        <v>#VALUE!</v>
      </c>
      <c r="J63" s="204" t="e">
        <f t="shared" si="7"/>
        <v>#VALUE!</v>
      </c>
      <c r="K63" s="204" t="e">
        <f t="shared" si="7"/>
        <v>#VALUE!</v>
      </c>
      <c r="L63" s="204">
        <f t="shared" si="7"/>
        <v>9.0909090909090912E-2</v>
      </c>
      <c r="M63" s="204">
        <f t="shared" si="7"/>
        <v>0.90909090909090906</v>
      </c>
      <c r="N63" s="204" t="e">
        <f t="shared" si="7"/>
        <v>#VALUE!</v>
      </c>
    </row>
    <row r="64" spans="1:14">
      <c r="A64" s="185" t="s">
        <v>229</v>
      </c>
      <c r="B64" s="105">
        <v>177000</v>
      </c>
      <c r="C64" s="9">
        <v>5000</v>
      </c>
      <c r="D64" s="9">
        <v>2000</v>
      </c>
      <c r="E64" s="9">
        <v>36000</v>
      </c>
      <c r="F64" s="9">
        <v>77000</v>
      </c>
      <c r="G64" s="9">
        <v>9000</v>
      </c>
      <c r="H64" s="9">
        <v>49000</v>
      </c>
      <c r="I64" s="204">
        <f t="shared" si="7"/>
        <v>2.8248587570621469E-2</v>
      </c>
      <c r="J64" s="204">
        <f t="shared" si="7"/>
        <v>1.1299435028248588E-2</v>
      </c>
      <c r="K64" s="204">
        <f t="shared" si="7"/>
        <v>0.20338983050847459</v>
      </c>
      <c r="L64" s="204">
        <f t="shared" si="7"/>
        <v>0.43502824858757061</v>
      </c>
      <c r="M64" s="204">
        <f t="shared" si="7"/>
        <v>5.0847457627118647E-2</v>
      </c>
      <c r="N64" s="204">
        <f t="shared" si="7"/>
        <v>0.2768361581920904</v>
      </c>
    </row>
    <row r="65" spans="1:14">
      <c r="A65" s="122" t="s">
        <v>350</v>
      </c>
      <c r="B65" s="106">
        <v>65000</v>
      </c>
      <c r="C65" s="16" t="s">
        <v>222</v>
      </c>
      <c r="D65" s="16" t="s">
        <v>222</v>
      </c>
      <c r="E65" s="11">
        <v>12000</v>
      </c>
      <c r="F65" s="11">
        <v>26000</v>
      </c>
      <c r="G65" s="16" t="s">
        <v>220</v>
      </c>
      <c r="H65" s="11">
        <v>26000</v>
      </c>
      <c r="I65" s="204" t="e">
        <f t="shared" si="7"/>
        <v>#VALUE!</v>
      </c>
      <c r="J65" s="204" t="e">
        <f t="shared" si="7"/>
        <v>#VALUE!</v>
      </c>
      <c r="K65" s="204">
        <f t="shared" si="7"/>
        <v>0.18461538461538463</v>
      </c>
      <c r="L65" s="204">
        <f t="shared" si="7"/>
        <v>0.4</v>
      </c>
      <c r="M65" s="204" t="e">
        <f t="shared" si="7"/>
        <v>#VALUE!</v>
      </c>
      <c r="N65" s="204">
        <f t="shared" si="7"/>
        <v>0.4</v>
      </c>
    </row>
    <row r="66" spans="1:14">
      <c r="A66" s="122" t="s">
        <v>351</v>
      </c>
      <c r="B66" s="106">
        <v>40000</v>
      </c>
      <c r="C66" s="11">
        <v>2000</v>
      </c>
      <c r="D66" s="16" t="s">
        <v>222</v>
      </c>
      <c r="E66" s="11">
        <v>9000</v>
      </c>
      <c r="F66" s="11">
        <v>18000</v>
      </c>
      <c r="G66" s="16" t="s">
        <v>220</v>
      </c>
      <c r="H66" s="11">
        <v>11000</v>
      </c>
      <c r="I66" s="204">
        <f t="shared" si="7"/>
        <v>0.05</v>
      </c>
      <c r="J66" s="204" t="e">
        <f t="shared" si="7"/>
        <v>#VALUE!</v>
      </c>
      <c r="K66" s="204">
        <f t="shared" si="7"/>
        <v>0.22500000000000001</v>
      </c>
      <c r="L66" s="204">
        <f t="shared" si="7"/>
        <v>0.45</v>
      </c>
      <c r="M66" s="204" t="e">
        <f t="shared" si="7"/>
        <v>#VALUE!</v>
      </c>
      <c r="N66" s="204">
        <f t="shared" si="7"/>
        <v>0.27500000000000002</v>
      </c>
    </row>
    <row r="67" spans="1:14">
      <c r="A67" s="122" t="s">
        <v>352</v>
      </c>
      <c r="B67" s="105">
        <v>11000</v>
      </c>
      <c r="C67" s="13" t="s">
        <v>220</v>
      </c>
      <c r="D67" s="13" t="s">
        <v>220</v>
      </c>
      <c r="E67" s="13" t="s">
        <v>222</v>
      </c>
      <c r="F67" s="9">
        <v>9000</v>
      </c>
      <c r="G67" s="13" t="s">
        <v>220</v>
      </c>
      <c r="H67" s="13" t="s">
        <v>220</v>
      </c>
      <c r="I67" s="204" t="e">
        <f t="shared" si="7"/>
        <v>#VALUE!</v>
      </c>
      <c r="J67" s="204" t="e">
        <f t="shared" si="7"/>
        <v>#VALUE!</v>
      </c>
      <c r="K67" s="204" t="e">
        <f t="shared" si="7"/>
        <v>#VALUE!</v>
      </c>
      <c r="L67" s="204">
        <f t="shared" si="7"/>
        <v>0.81818181818181823</v>
      </c>
      <c r="M67" s="204" t="e">
        <f t="shared" si="7"/>
        <v>#VALUE!</v>
      </c>
      <c r="N67" s="204" t="e">
        <f t="shared" si="7"/>
        <v>#VALUE!</v>
      </c>
    </row>
    <row r="68" spans="1:14" ht="24">
      <c r="A68" s="122" t="s">
        <v>353</v>
      </c>
      <c r="B68" s="132">
        <v>47000</v>
      </c>
      <c r="C68" s="26" t="s">
        <v>191</v>
      </c>
      <c r="D68" s="26" t="s">
        <v>220</v>
      </c>
      <c r="E68" s="25">
        <v>13000</v>
      </c>
      <c r="F68" s="25">
        <v>20000</v>
      </c>
      <c r="G68" s="26" t="s">
        <v>220</v>
      </c>
      <c r="H68" s="25">
        <v>11000</v>
      </c>
      <c r="I68" s="204" t="e">
        <f t="shared" si="7"/>
        <v>#VALUE!</v>
      </c>
      <c r="J68" s="204" t="e">
        <f t="shared" si="7"/>
        <v>#VALUE!</v>
      </c>
      <c r="K68" s="204">
        <f t="shared" si="7"/>
        <v>0.27659574468085107</v>
      </c>
      <c r="L68" s="204">
        <f t="shared" si="7"/>
        <v>0.42553191489361702</v>
      </c>
      <c r="M68" s="204" t="e">
        <f t="shared" si="7"/>
        <v>#VALUE!</v>
      </c>
      <c r="N68" s="204">
        <f t="shared" si="7"/>
        <v>0.23404255319148937</v>
      </c>
    </row>
    <row r="69" spans="1:14" ht="24">
      <c r="A69" s="122" t="s">
        <v>354</v>
      </c>
      <c r="B69" s="106">
        <v>14000</v>
      </c>
      <c r="C69" s="16" t="s">
        <v>220</v>
      </c>
      <c r="D69" s="16" t="s">
        <v>220</v>
      </c>
      <c r="E69" s="16" t="s">
        <v>220</v>
      </c>
      <c r="F69" s="11">
        <v>4000</v>
      </c>
      <c r="G69" s="11">
        <v>8000</v>
      </c>
      <c r="H69" s="16" t="s">
        <v>220</v>
      </c>
      <c r="I69" s="204" t="e">
        <f t="shared" si="7"/>
        <v>#VALUE!</v>
      </c>
      <c r="J69" s="204" t="e">
        <f t="shared" si="7"/>
        <v>#VALUE!</v>
      </c>
      <c r="K69" s="204" t="e">
        <f t="shared" si="7"/>
        <v>#VALUE!</v>
      </c>
      <c r="L69" s="204">
        <f t="shared" si="7"/>
        <v>0.2857142857142857</v>
      </c>
      <c r="M69" s="204">
        <f t="shared" si="7"/>
        <v>0.5714285714285714</v>
      </c>
      <c r="N69" s="204" t="e">
        <f t="shared" si="7"/>
        <v>#VALUE!</v>
      </c>
    </row>
    <row r="70" spans="1:14">
      <c r="A70" s="121" t="s">
        <v>230</v>
      </c>
      <c r="B70" s="105">
        <v>170000</v>
      </c>
      <c r="C70" s="13" t="s">
        <v>191</v>
      </c>
      <c r="D70" s="13" t="s">
        <v>191</v>
      </c>
      <c r="E70" s="9">
        <v>47000</v>
      </c>
      <c r="F70" s="9">
        <v>57000</v>
      </c>
      <c r="G70" s="9">
        <v>11000</v>
      </c>
      <c r="H70" s="9">
        <v>49000</v>
      </c>
      <c r="I70" s="204" t="e">
        <f t="shared" si="7"/>
        <v>#VALUE!</v>
      </c>
      <c r="J70" s="204" t="e">
        <f t="shared" si="7"/>
        <v>#VALUE!</v>
      </c>
      <c r="K70" s="204">
        <f t="shared" si="7"/>
        <v>0.27647058823529413</v>
      </c>
      <c r="L70" s="204">
        <f t="shared" si="7"/>
        <v>0.3352941176470588</v>
      </c>
      <c r="M70" s="204">
        <f t="shared" si="7"/>
        <v>6.4705882352941183E-2</v>
      </c>
      <c r="N70" s="204">
        <f t="shared" si="7"/>
        <v>0.28823529411764703</v>
      </c>
    </row>
    <row r="71" spans="1:14">
      <c r="A71" s="122" t="s">
        <v>355</v>
      </c>
      <c r="B71" s="105">
        <v>9000</v>
      </c>
      <c r="C71" s="13" t="s">
        <v>220</v>
      </c>
      <c r="D71" s="13" t="s">
        <v>220</v>
      </c>
      <c r="E71" s="13" t="s">
        <v>191</v>
      </c>
      <c r="F71" s="9">
        <v>3000</v>
      </c>
      <c r="G71" s="13" t="s">
        <v>220</v>
      </c>
      <c r="H71" s="13" t="s">
        <v>191</v>
      </c>
      <c r="I71" s="204" t="e">
        <f t="shared" si="7"/>
        <v>#VALUE!</v>
      </c>
      <c r="J71" s="204" t="e">
        <f t="shared" si="7"/>
        <v>#VALUE!</v>
      </c>
      <c r="K71" s="204" t="e">
        <f t="shared" si="7"/>
        <v>#VALUE!</v>
      </c>
      <c r="L71" s="204">
        <f t="shared" si="7"/>
        <v>0.33333333333333331</v>
      </c>
      <c r="M71" s="204" t="e">
        <f t="shared" si="7"/>
        <v>#VALUE!</v>
      </c>
      <c r="N71" s="204" t="e">
        <f t="shared" si="7"/>
        <v>#VALUE!</v>
      </c>
    </row>
    <row r="72" spans="1:14">
      <c r="A72" s="122" t="s">
        <v>356</v>
      </c>
      <c r="B72" s="105">
        <v>10000</v>
      </c>
      <c r="C72" s="13" t="s">
        <v>220</v>
      </c>
      <c r="D72" s="13" t="s">
        <v>220</v>
      </c>
      <c r="E72" s="13" t="s">
        <v>191</v>
      </c>
      <c r="F72" s="13" t="s">
        <v>191</v>
      </c>
      <c r="G72" s="13" t="s">
        <v>220</v>
      </c>
      <c r="H72" s="13" t="s">
        <v>191</v>
      </c>
      <c r="I72" s="204" t="e">
        <f t="shared" si="7"/>
        <v>#VALUE!</v>
      </c>
      <c r="J72" s="204" t="e">
        <f t="shared" si="7"/>
        <v>#VALUE!</v>
      </c>
      <c r="K72" s="204" t="e">
        <f t="shared" si="7"/>
        <v>#VALUE!</v>
      </c>
      <c r="L72" s="204" t="e">
        <f t="shared" si="7"/>
        <v>#VALUE!</v>
      </c>
      <c r="M72" s="204" t="e">
        <f t="shared" si="7"/>
        <v>#VALUE!</v>
      </c>
      <c r="N72" s="204" t="e">
        <f t="shared" si="7"/>
        <v>#VALUE!</v>
      </c>
    </row>
    <row r="73" spans="1:14">
      <c r="A73" s="122" t="s">
        <v>357</v>
      </c>
      <c r="B73" s="105">
        <v>38000</v>
      </c>
      <c r="C73" s="13" t="s">
        <v>220</v>
      </c>
      <c r="D73" s="13" t="s">
        <v>220</v>
      </c>
      <c r="E73" s="13" t="s">
        <v>191</v>
      </c>
      <c r="F73" s="9">
        <v>8000</v>
      </c>
      <c r="G73" s="13" t="s">
        <v>220</v>
      </c>
      <c r="H73" s="9">
        <v>15000</v>
      </c>
      <c r="I73" s="204" t="e">
        <f t="shared" si="7"/>
        <v>#VALUE!</v>
      </c>
      <c r="J73" s="204" t="e">
        <f t="shared" si="7"/>
        <v>#VALUE!</v>
      </c>
      <c r="K73" s="204" t="e">
        <f t="shared" si="7"/>
        <v>#VALUE!</v>
      </c>
      <c r="L73" s="204">
        <f t="shared" si="7"/>
        <v>0.21052631578947367</v>
      </c>
      <c r="M73" s="204" t="e">
        <f t="shared" si="7"/>
        <v>#VALUE!</v>
      </c>
      <c r="N73" s="204">
        <f t="shared" si="7"/>
        <v>0.39473684210526316</v>
      </c>
    </row>
    <row r="74" spans="1:14">
      <c r="A74" s="122" t="s">
        <v>358</v>
      </c>
      <c r="B74" s="105">
        <v>3000</v>
      </c>
      <c r="C74" s="13" t="s">
        <v>220</v>
      </c>
      <c r="D74" s="13" t="s">
        <v>220</v>
      </c>
      <c r="E74" s="13" t="s">
        <v>191</v>
      </c>
      <c r="F74" s="9">
        <v>2000</v>
      </c>
      <c r="G74" s="13" t="s">
        <v>220</v>
      </c>
      <c r="H74" s="13" t="s">
        <v>222</v>
      </c>
      <c r="I74" s="204" t="e">
        <f t="shared" si="7"/>
        <v>#VALUE!</v>
      </c>
      <c r="J74" s="204" t="e">
        <f t="shared" si="7"/>
        <v>#VALUE!</v>
      </c>
      <c r="K74" s="204" t="e">
        <f t="shared" si="7"/>
        <v>#VALUE!</v>
      </c>
      <c r="L74" s="204">
        <f t="shared" si="7"/>
        <v>0.66666666666666663</v>
      </c>
      <c r="M74" s="204" t="e">
        <f t="shared" si="7"/>
        <v>#VALUE!</v>
      </c>
      <c r="N74" s="204" t="e">
        <f t="shared" si="7"/>
        <v>#VALUE!</v>
      </c>
    </row>
    <row r="75" spans="1:14">
      <c r="A75" s="122" t="s">
        <v>359</v>
      </c>
      <c r="B75" s="142">
        <v>91000</v>
      </c>
      <c r="C75" s="32" t="s">
        <v>191</v>
      </c>
      <c r="D75" s="32" t="s">
        <v>220</v>
      </c>
      <c r="E75" s="29">
        <v>26000</v>
      </c>
      <c r="F75" s="29">
        <v>35000</v>
      </c>
      <c r="G75" s="32" t="s">
        <v>220</v>
      </c>
      <c r="H75" s="29">
        <v>26000</v>
      </c>
      <c r="I75" s="204" t="e">
        <f>C75/$B75</f>
        <v>#VALUE!</v>
      </c>
      <c r="J75" s="204" t="e">
        <f t="shared" ref="J75:N90" si="8">D75/$B75</f>
        <v>#VALUE!</v>
      </c>
      <c r="K75" s="204">
        <f t="shared" si="8"/>
        <v>0.2857142857142857</v>
      </c>
      <c r="L75" s="204">
        <f t="shared" si="8"/>
        <v>0.38461538461538464</v>
      </c>
      <c r="M75" s="204" t="e">
        <f t="shared" si="8"/>
        <v>#VALUE!</v>
      </c>
      <c r="N75" s="204">
        <f t="shared" si="8"/>
        <v>0.2857142857142857</v>
      </c>
    </row>
    <row r="76" spans="1:14" ht="24">
      <c r="A76" s="122" t="s">
        <v>360</v>
      </c>
      <c r="B76" s="106">
        <v>18000</v>
      </c>
      <c r="C76" s="16" t="s">
        <v>220</v>
      </c>
      <c r="D76" s="16" t="s">
        <v>220</v>
      </c>
      <c r="E76" s="16" t="s">
        <v>220</v>
      </c>
      <c r="F76" s="16" t="s">
        <v>191</v>
      </c>
      <c r="G76" s="11">
        <v>11000</v>
      </c>
      <c r="H76" s="16" t="s">
        <v>220</v>
      </c>
      <c r="I76" s="204" t="e">
        <f t="shared" ref="I76:N108" si="9">C76/$B76</f>
        <v>#VALUE!</v>
      </c>
      <c r="J76" s="204" t="e">
        <f t="shared" si="8"/>
        <v>#VALUE!</v>
      </c>
      <c r="K76" s="204" t="e">
        <f t="shared" si="8"/>
        <v>#VALUE!</v>
      </c>
      <c r="L76" s="204" t="e">
        <f t="shared" si="8"/>
        <v>#VALUE!</v>
      </c>
      <c r="M76" s="204">
        <f t="shared" si="8"/>
        <v>0.61111111111111116</v>
      </c>
      <c r="N76" s="204" t="e">
        <f t="shared" si="8"/>
        <v>#VALUE!</v>
      </c>
    </row>
    <row r="77" spans="1:14">
      <c r="A77" s="121" t="s">
        <v>231</v>
      </c>
      <c r="B77" s="105">
        <v>1222000</v>
      </c>
      <c r="C77" s="9">
        <v>66000</v>
      </c>
      <c r="D77" s="9">
        <v>341000</v>
      </c>
      <c r="E77" s="9">
        <v>409000</v>
      </c>
      <c r="F77" s="9">
        <v>233000</v>
      </c>
      <c r="G77" s="9">
        <v>9000</v>
      </c>
      <c r="H77" s="9">
        <v>165000</v>
      </c>
      <c r="I77" s="204">
        <f t="shared" si="9"/>
        <v>5.4009819967266774E-2</v>
      </c>
      <c r="J77" s="204">
        <f t="shared" si="8"/>
        <v>0.27905073649754503</v>
      </c>
      <c r="K77" s="204">
        <f t="shared" si="8"/>
        <v>0.33469721767594107</v>
      </c>
      <c r="L77" s="204">
        <f t="shared" si="8"/>
        <v>0.190671031096563</v>
      </c>
      <c r="M77" s="204">
        <f t="shared" si="8"/>
        <v>7.3649754500818331E-3</v>
      </c>
      <c r="N77" s="204">
        <f t="shared" si="8"/>
        <v>0.13502454991816695</v>
      </c>
    </row>
    <row r="78" spans="1:14" ht="24">
      <c r="A78" s="122" t="s">
        <v>361</v>
      </c>
      <c r="B78" s="106">
        <v>66000</v>
      </c>
      <c r="C78" s="11">
        <v>5000</v>
      </c>
      <c r="D78" s="11">
        <v>20000</v>
      </c>
      <c r="E78" s="11">
        <v>16000</v>
      </c>
      <c r="F78" s="11">
        <v>19000</v>
      </c>
      <c r="G78" s="16" t="s">
        <v>220</v>
      </c>
      <c r="H78" s="11">
        <v>7000</v>
      </c>
      <c r="I78" s="204">
        <f t="shared" si="9"/>
        <v>7.575757575757576E-2</v>
      </c>
      <c r="J78" s="204">
        <f t="shared" si="8"/>
        <v>0.30303030303030304</v>
      </c>
      <c r="K78" s="204">
        <f t="shared" si="8"/>
        <v>0.24242424242424243</v>
      </c>
      <c r="L78" s="204">
        <f t="shared" si="8"/>
        <v>0.2878787878787879</v>
      </c>
      <c r="M78" s="204" t="e">
        <f t="shared" si="8"/>
        <v>#VALUE!</v>
      </c>
      <c r="N78" s="204">
        <f t="shared" si="8"/>
        <v>0.10606060606060606</v>
      </c>
    </row>
    <row r="79" spans="1:14">
      <c r="A79" s="122" t="s">
        <v>362</v>
      </c>
      <c r="B79" s="105">
        <v>53000</v>
      </c>
      <c r="C79" s="9">
        <v>3000</v>
      </c>
      <c r="D79" s="9">
        <v>15000</v>
      </c>
      <c r="E79" s="9">
        <v>13000</v>
      </c>
      <c r="F79" s="9">
        <v>10000</v>
      </c>
      <c r="G79" s="13" t="s">
        <v>220</v>
      </c>
      <c r="H79" s="9">
        <v>12000</v>
      </c>
      <c r="I79" s="204">
        <f t="shared" si="9"/>
        <v>5.6603773584905662E-2</v>
      </c>
      <c r="J79" s="204">
        <f t="shared" si="8"/>
        <v>0.28301886792452829</v>
      </c>
      <c r="K79" s="204">
        <f t="shared" si="8"/>
        <v>0.24528301886792453</v>
      </c>
      <c r="L79" s="204">
        <f t="shared" si="8"/>
        <v>0.18867924528301888</v>
      </c>
      <c r="M79" s="204" t="e">
        <f t="shared" si="8"/>
        <v>#VALUE!</v>
      </c>
      <c r="N79" s="204">
        <f t="shared" si="8"/>
        <v>0.22641509433962265</v>
      </c>
    </row>
    <row r="80" spans="1:14">
      <c r="A80" s="122" t="s">
        <v>363</v>
      </c>
      <c r="B80" s="106">
        <v>194000</v>
      </c>
      <c r="C80" s="11">
        <v>2000</v>
      </c>
      <c r="D80" s="11">
        <v>58000</v>
      </c>
      <c r="E80" s="11">
        <v>80000</v>
      </c>
      <c r="F80" s="11">
        <v>24000</v>
      </c>
      <c r="G80" s="16" t="s">
        <v>220</v>
      </c>
      <c r="H80" s="11">
        <v>29000</v>
      </c>
      <c r="I80" s="204">
        <f t="shared" si="9"/>
        <v>1.0309278350515464E-2</v>
      </c>
      <c r="J80" s="204">
        <f t="shared" si="8"/>
        <v>0.29896907216494845</v>
      </c>
      <c r="K80" s="204">
        <f t="shared" si="8"/>
        <v>0.41237113402061853</v>
      </c>
      <c r="L80" s="204">
        <f t="shared" si="8"/>
        <v>0.12371134020618557</v>
      </c>
      <c r="M80" s="204" t="e">
        <f t="shared" si="8"/>
        <v>#VALUE!</v>
      </c>
      <c r="N80" s="204">
        <f t="shared" si="8"/>
        <v>0.14948453608247422</v>
      </c>
    </row>
    <row r="81" spans="1:14" ht="24">
      <c r="A81" s="122" t="s">
        <v>364</v>
      </c>
      <c r="B81" s="106">
        <v>242000</v>
      </c>
      <c r="C81" s="11">
        <v>36000</v>
      </c>
      <c r="D81" s="11">
        <v>70000</v>
      </c>
      <c r="E81" s="11">
        <v>50000</v>
      </c>
      <c r="F81" s="11">
        <v>57000</v>
      </c>
      <c r="G81" s="16" t="s">
        <v>220</v>
      </c>
      <c r="H81" s="11">
        <v>28000</v>
      </c>
      <c r="I81" s="204">
        <f t="shared" si="9"/>
        <v>0.1487603305785124</v>
      </c>
      <c r="J81" s="204">
        <f t="shared" si="8"/>
        <v>0.28925619834710742</v>
      </c>
      <c r="K81" s="204">
        <f t="shared" si="8"/>
        <v>0.20661157024793389</v>
      </c>
      <c r="L81" s="204">
        <f t="shared" si="8"/>
        <v>0.23553719008264462</v>
      </c>
      <c r="M81" s="204" t="e">
        <f t="shared" si="8"/>
        <v>#VALUE!</v>
      </c>
      <c r="N81" s="204">
        <f t="shared" si="8"/>
        <v>0.11570247933884298</v>
      </c>
    </row>
    <row r="82" spans="1:14">
      <c r="A82" s="122" t="s">
        <v>365</v>
      </c>
      <c r="B82" s="105">
        <v>62000</v>
      </c>
      <c r="C82" s="9">
        <v>2000</v>
      </c>
      <c r="D82" s="9">
        <v>13000</v>
      </c>
      <c r="E82" s="9">
        <v>30000</v>
      </c>
      <c r="F82" s="9">
        <v>3000</v>
      </c>
      <c r="G82" s="13" t="s">
        <v>220</v>
      </c>
      <c r="H82" s="9">
        <v>15000</v>
      </c>
      <c r="I82" s="204">
        <f t="shared" si="9"/>
        <v>3.2258064516129031E-2</v>
      </c>
      <c r="J82" s="204">
        <f t="shared" si="8"/>
        <v>0.20967741935483872</v>
      </c>
      <c r="K82" s="204">
        <f t="shared" si="8"/>
        <v>0.4838709677419355</v>
      </c>
      <c r="L82" s="204">
        <f t="shared" si="8"/>
        <v>4.8387096774193547E-2</v>
      </c>
      <c r="M82" s="204" t="e">
        <f t="shared" si="8"/>
        <v>#VALUE!</v>
      </c>
      <c r="N82" s="204">
        <f t="shared" si="8"/>
        <v>0.24193548387096775</v>
      </c>
    </row>
    <row r="83" spans="1:14">
      <c r="A83" s="122" t="s">
        <v>366</v>
      </c>
      <c r="B83" s="105">
        <v>274000</v>
      </c>
      <c r="C83" s="9">
        <v>4000</v>
      </c>
      <c r="D83" s="9">
        <v>114000</v>
      </c>
      <c r="E83" s="9">
        <v>71000</v>
      </c>
      <c r="F83" s="9">
        <v>51000</v>
      </c>
      <c r="G83" s="9">
        <v>1000</v>
      </c>
      <c r="H83" s="9">
        <v>33000</v>
      </c>
      <c r="I83" s="204">
        <f t="shared" si="9"/>
        <v>1.4598540145985401E-2</v>
      </c>
      <c r="J83" s="204">
        <f t="shared" si="8"/>
        <v>0.41605839416058393</v>
      </c>
      <c r="K83" s="204">
        <f t="shared" si="8"/>
        <v>0.25912408759124089</v>
      </c>
      <c r="L83" s="204">
        <f t="shared" si="8"/>
        <v>0.18613138686131386</v>
      </c>
      <c r="M83" s="204">
        <f t="shared" si="8"/>
        <v>3.6496350364963502E-3</v>
      </c>
      <c r="N83" s="204">
        <f t="shared" si="8"/>
        <v>0.12043795620437957</v>
      </c>
    </row>
    <row r="84" spans="1:14">
      <c r="A84" s="122" t="s">
        <v>367</v>
      </c>
      <c r="B84" s="105">
        <v>323000</v>
      </c>
      <c r="C84" s="9">
        <v>14000</v>
      </c>
      <c r="D84" s="9">
        <v>50000</v>
      </c>
      <c r="E84" s="9">
        <v>149000</v>
      </c>
      <c r="F84" s="9">
        <v>68000</v>
      </c>
      <c r="G84" s="13" t="s">
        <v>220</v>
      </c>
      <c r="H84" s="9">
        <v>42000</v>
      </c>
      <c r="I84" s="204">
        <f t="shared" si="9"/>
        <v>4.3343653250773995E-2</v>
      </c>
      <c r="J84" s="204">
        <f t="shared" si="8"/>
        <v>0.15479876160990713</v>
      </c>
      <c r="K84" s="204">
        <f t="shared" si="8"/>
        <v>0.46130030959752322</v>
      </c>
      <c r="L84" s="204">
        <f t="shared" si="8"/>
        <v>0.21052631578947367</v>
      </c>
      <c r="M84" s="204" t="e">
        <f t="shared" si="8"/>
        <v>#VALUE!</v>
      </c>
      <c r="N84" s="204">
        <f t="shared" si="8"/>
        <v>0.13003095975232198</v>
      </c>
    </row>
    <row r="85" spans="1:14">
      <c r="A85" s="122" t="s">
        <v>368</v>
      </c>
      <c r="B85" s="106">
        <v>7000</v>
      </c>
      <c r="C85" s="16" t="s">
        <v>220</v>
      </c>
      <c r="D85" s="16" t="s">
        <v>220</v>
      </c>
      <c r="E85" s="16" t="s">
        <v>220</v>
      </c>
      <c r="F85" s="16" t="s">
        <v>220</v>
      </c>
      <c r="G85" s="11">
        <v>4000</v>
      </c>
      <c r="H85" s="16" t="s">
        <v>220</v>
      </c>
      <c r="I85" s="204" t="e">
        <f t="shared" si="9"/>
        <v>#VALUE!</v>
      </c>
      <c r="J85" s="204" t="e">
        <f t="shared" si="8"/>
        <v>#VALUE!</v>
      </c>
      <c r="K85" s="204" t="e">
        <f t="shared" si="8"/>
        <v>#VALUE!</v>
      </c>
      <c r="L85" s="204" t="e">
        <f t="shared" si="8"/>
        <v>#VALUE!</v>
      </c>
      <c r="M85" s="204">
        <f t="shared" si="8"/>
        <v>0.5714285714285714</v>
      </c>
      <c r="N85" s="204" t="e">
        <f t="shared" si="8"/>
        <v>#VALUE!</v>
      </c>
    </row>
    <row r="86" spans="1:14">
      <c r="A86" s="120" t="s">
        <v>175</v>
      </c>
      <c r="B86" s="105">
        <v>5031000</v>
      </c>
      <c r="C86" s="9">
        <v>219000</v>
      </c>
      <c r="D86" s="9">
        <v>167000</v>
      </c>
      <c r="E86" s="9">
        <v>978000</v>
      </c>
      <c r="F86" s="9">
        <v>316000</v>
      </c>
      <c r="G86" s="9">
        <v>463000</v>
      </c>
      <c r="H86" s="9">
        <v>2888000</v>
      </c>
      <c r="I86" s="204">
        <f t="shared" si="9"/>
        <v>4.3530113297555156E-2</v>
      </c>
      <c r="J86" s="204">
        <f t="shared" si="8"/>
        <v>3.3194195984893662E-2</v>
      </c>
      <c r="K86" s="204">
        <f t="shared" si="8"/>
        <v>0.19439475253428742</v>
      </c>
      <c r="L86" s="204">
        <f t="shared" si="8"/>
        <v>6.2810574438481412E-2</v>
      </c>
      <c r="M86" s="204">
        <f t="shared" si="8"/>
        <v>9.2029417610812958E-2</v>
      </c>
      <c r="N86" s="204">
        <f t="shared" si="8"/>
        <v>0.57404094613396939</v>
      </c>
    </row>
    <row r="87" spans="1:14">
      <c r="A87" s="121" t="s">
        <v>369</v>
      </c>
      <c r="B87" s="105">
        <v>3160000</v>
      </c>
      <c r="C87" s="9">
        <v>28000</v>
      </c>
      <c r="D87" s="9">
        <v>6000</v>
      </c>
      <c r="E87" s="9">
        <v>354000</v>
      </c>
      <c r="F87" s="9">
        <v>130000</v>
      </c>
      <c r="G87" s="9">
        <v>97000</v>
      </c>
      <c r="H87" s="9">
        <v>2544000</v>
      </c>
      <c r="I87" s="204">
        <f t="shared" si="9"/>
        <v>8.8607594936708865E-3</v>
      </c>
      <c r="J87" s="204">
        <f t="shared" si="8"/>
        <v>1.8987341772151898E-3</v>
      </c>
      <c r="K87" s="204">
        <f t="shared" si="8"/>
        <v>0.1120253164556962</v>
      </c>
      <c r="L87" s="204">
        <f t="shared" si="8"/>
        <v>4.1139240506329111E-2</v>
      </c>
      <c r="M87" s="204">
        <f t="shared" si="8"/>
        <v>3.069620253164557E-2</v>
      </c>
      <c r="N87" s="204">
        <f t="shared" si="8"/>
        <v>0.80506329113924047</v>
      </c>
    </row>
    <row r="88" spans="1:14">
      <c r="A88" s="121" t="s">
        <v>370</v>
      </c>
      <c r="B88" s="105">
        <v>553000</v>
      </c>
      <c r="C88" s="9">
        <v>34000</v>
      </c>
      <c r="D88" s="9">
        <v>23000</v>
      </c>
      <c r="E88" s="9">
        <v>400000</v>
      </c>
      <c r="F88" s="9">
        <v>13000</v>
      </c>
      <c r="G88" s="13" t="s">
        <v>220</v>
      </c>
      <c r="H88" s="9">
        <v>83000</v>
      </c>
      <c r="I88" s="204">
        <f t="shared" si="9"/>
        <v>6.148282097649186E-2</v>
      </c>
      <c r="J88" s="204">
        <f t="shared" si="8"/>
        <v>4.1591320072332731E-2</v>
      </c>
      <c r="K88" s="204">
        <f t="shared" si="8"/>
        <v>0.72332730560578662</v>
      </c>
      <c r="L88" s="204">
        <f t="shared" si="8"/>
        <v>2.3508137432188065E-2</v>
      </c>
      <c r="M88" s="204" t="e">
        <f t="shared" si="8"/>
        <v>#VALUE!</v>
      </c>
      <c r="N88" s="204">
        <f t="shared" si="8"/>
        <v>0.15009041591320071</v>
      </c>
    </row>
    <row r="89" spans="1:14">
      <c r="A89" s="121" t="s">
        <v>371</v>
      </c>
      <c r="B89" s="105">
        <v>377000</v>
      </c>
      <c r="C89" s="13" t="s">
        <v>220</v>
      </c>
      <c r="D89" s="13" t="s">
        <v>220</v>
      </c>
      <c r="E89" s="9">
        <v>9000</v>
      </c>
      <c r="F89" s="13" t="s">
        <v>191</v>
      </c>
      <c r="G89" s="9">
        <v>363000</v>
      </c>
      <c r="H89" s="13" t="s">
        <v>220</v>
      </c>
      <c r="I89" s="204" t="e">
        <f t="shared" si="9"/>
        <v>#VALUE!</v>
      </c>
      <c r="J89" s="204" t="e">
        <f t="shared" si="8"/>
        <v>#VALUE!</v>
      </c>
      <c r="K89" s="204">
        <f t="shared" si="8"/>
        <v>2.3872679045092837E-2</v>
      </c>
      <c r="L89" s="204" t="e">
        <f t="shared" si="8"/>
        <v>#VALUE!</v>
      </c>
      <c r="M89" s="204">
        <f t="shared" si="8"/>
        <v>0.96286472148541113</v>
      </c>
      <c r="N89" s="204" t="e">
        <f t="shared" si="8"/>
        <v>#VALUE!</v>
      </c>
    </row>
    <row r="90" spans="1:14">
      <c r="A90" s="121" t="s">
        <v>372</v>
      </c>
      <c r="B90" s="106">
        <v>784000</v>
      </c>
      <c r="C90" s="11">
        <v>147000</v>
      </c>
      <c r="D90" s="11">
        <v>89000</v>
      </c>
      <c r="E90" s="11">
        <v>170000</v>
      </c>
      <c r="F90" s="11">
        <v>151000</v>
      </c>
      <c r="G90" s="16" t="s">
        <v>191</v>
      </c>
      <c r="H90" s="11">
        <v>225000</v>
      </c>
      <c r="I90" s="204">
        <f t="shared" si="9"/>
        <v>0.1875</v>
      </c>
      <c r="J90" s="204">
        <f t="shared" si="8"/>
        <v>0.11352040816326531</v>
      </c>
      <c r="K90" s="204">
        <f t="shared" si="8"/>
        <v>0.21683673469387754</v>
      </c>
      <c r="L90" s="204">
        <f t="shared" si="8"/>
        <v>0.19260204081632654</v>
      </c>
      <c r="M90" s="204" t="e">
        <f t="shared" si="8"/>
        <v>#VALUE!</v>
      </c>
      <c r="N90" s="204">
        <f t="shared" si="8"/>
        <v>0.28698979591836737</v>
      </c>
    </row>
    <row r="91" spans="1:14">
      <c r="A91" s="123" t="s">
        <v>373</v>
      </c>
      <c r="B91" s="105">
        <v>157000</v>
      </c>
      <c r="C91" s="9">
        <v>10000</v>
      </c>
      <c r="D91" s="9">
        <v>49000</v>
      </c>
      <c r="E91" s="9">
        <v>45000</v>
      </c>
      <c r="F91" s="9">
        <v>17000</v>
      </c>
      <c r="G91" s="13" t="s">
        <v>220</v>
      </c>
      <c r="H91" s="9">
        <v>35000</v>
      </c>
      <c r="I91" s="204">
        <f t="shared" si="9"/>
        <v>6.3694267515923567E-2</v>
      </c>
      <c r="J91" s="204">
        <f t="shared" si="9"/>
        <v>0.31210191082802546</v>
      </c>
      <c r="K91" s="204">
        <f t="shared" si="9"/>
        <v>0.28662420382165604</v>
      </c>
      <c r="L91" s="204">
        <f t="shared" si="9"/>
        <v>0.10828025477707007</v>
      </c>
      <c r="M91" s="204" t="e">
        <f t="shared" si="9"/>
        <v>#VALUE!</v>
      </c>
      <c r="N91" s="204">
        <f t="shared" si="9"/>
        <v>0.22292993630573249</v>
      </c>
    </row>
    <row r="92" spans="1:14">
      <c r="A92" s="120" t="s">
        <v>176</v>
      </c>
      <c r="B92" s="105">
        <v>22219000</v>
      </c>
      <c r="C92" s="9">
        <v>265000</v>
      </c>
      <c r="D92" s="9">
        <v>284000</v>
      </c>
      <c r="E92" s="9">
        <v>13507000</v>
      </c>
      <c r="F92" s="9">
        <v>914000</v>
      </c>
      <c r="G92" s="9">
        <v>2427000</v>
      </c>
      <c r="H92" s="9">
        <v>4821000</v>
      </c>
      <c r="I92" s="204">
        <f t="shared" si="9"/>
        <v>1.1926729375759485E-2</v>
      </c>
      <c r="J92" s="204">
        <f t="shared" si="9"/>
        <v>1.2781853368738468E-2</v>
      </c>
      <c r="K92" s="204">
        <f t="shared" si="9"/>
        <v>0.60790314595616368</v>
      </c>
      <c r="L92" s="204">
        <f t="shared" si="9"/>
        <v>4.1135964714883656E-2</v>
      </c>
      <c r="M92" s="204">
        <f t="shared" si="9"/>
        <v>0.10923083847157838</v>
      </c>
      <c r="N92" s="204">
        <f t="shared" si="9"/>
        <v>0.2169764615869301</v>
      </c>
    </row>
    <row r="93" spans="1:14">
      <c r="A93" s="121" t="s">
        <v>374</v>
      </c>
      <c r="B93" s="105">
        <v>2978000</v>
      </c>
      <c r="C93" s="9">
        <v>38000</v>
      </c>
      <c r="D93" s="9">
        <v>45000</v>
      </c>
      <c r="E93" s="9">
        <v>2482000</v>
      </c>
      <c r="F93" s="9">
        <v>94000</v>
      </c>
      <c r="G93" s="9">
        <v>7000</v>
      </c>
      <c r="H93" s="9">
        <v>312000</v>
      </c>
      <c r="I93" s="204">
        <f t="shared" si="9"/>
        <v>1.2760241773002015E-2</v>
      </c>
      <c r="J93" s="204">
        <f t="shared" si="9"/>
        <v>1.5110812625923439E-2</v>
      </c>
      <c r="K93" s="204">
        <f t="shared" si="9"/>
        <v>0.83344526527871055</v>
      </c>
      <c r="L93" s="204">
        <f t="shared" si="9"/>
        <v>3.1564808596373402E-2</v>
      </c>
      <c r="M93" s="204">
        <f t="shared" si="9"/>
        <v>2.3505708529214238E-3</v>
      </c>
      <c r="N93" s="204">
        <f t="shared" si="9"/>
        <v>0.10476830087306917</v>
      </c>
    </row>
    <row r="94" spans="1:14">
      <c r="A94" s="121" t="s">
        <v>406</v>
      </c>
      <c r="B94" s="106">
        <v>5231000</v>
      </c>
      <c r="C94" s="11">
        <v>85000</v>
      </c>
      <c r="D94" s="11">
        <v>72000</v>
      </c>
      <c r="E94" s="11">
        <v>4047000</v>
      </c>
      <c r="F94" s="11">
        <v>236000</v>
      </c>
      <c r="G94" s="11">
        <v>75000</v>
      </c>
      <c r="H94" s="11">
        <v>715000</v>
      </c>
      <c r="I94" s="204">
        <f t="shared" si="9"/>
        <v>1.6249283119862359E-2</v>
      </c>
      <c r="J94" s="204">
        <f t="shared" si="9"/>
        <v>1.3764098642706939E-2</v>
      </c>
      <c r="K94" s="204">
        <f t="shared" si="9"/>
        <v>0.77365704454215256</v>
      </c>
      <c r="L94" s="204">
        <f t="shared" si="9"/>
        <v>4.5115656662206079E-2</v>
      </c>
      <c r="M94" s="204">
        <f t="shared" si="9"/>
        <v>1.4337602752819728E-2</v>
      </c>
      <c r="N94" s="204">
        <f t="shared" si="9"/>
        <v>0.13668514624354808</v>
      </c>
    </row>
    <row r="95" spans="1:14">
      <c r="A95" s="121" t="s">
        <v>376</v>
      </c>
      <c r="B95" s="105">
        <v>1934000</v>
      </c>
      <c r="C95" s="13" t="s">
        <v>220</v>
      </c>
      <c r="D95" s="13" t="s">
        <v>220</v>
      </c>
      <c r="E95" s="9">
        <v>68000</v>
      </c>
      <c r="F95" s="13" t="s">
        <v>191</v>
      </c>
      <c r="G95" s="9">
        <v>1822000</v>
      </c>
      <c r="H95" s="9">
        <v>27000</v>
      </c>
      <c r="I95" s="204" t="e">
        <f t="shared" si="9"/>
        <v>#VALUE!</v>
      </c>
      <c r="J95" s="204" t="e">
        <f t="shared" si="9"/>
        <v>#VALUE!</v>
      </c>
      <c r="K95" s="204">
        <f t="shared" si="9"/>
        <v>3.5160289555325748E-2</v>
      </c>
      <c r="L95" s="204" t="e">
        <f t="shared" si="9"/>
        <v>#VALUE!</v>
      </c>
      <c r="M95" s="204">
        <f t="shared" si="9"/>
        <v>0.94208893485005174</v>
      </c>
      <c r="N95" s="204">
        <f t="shared" si="9"/>
        <v>1.3960703205791106E-2</v>
      </c>
    </row>
    <row r="96" spans="1:14">
      <c r="A96" s="121" t="s">
        <v>377</v>
      </c>
      <c r="B96" s="106">
        <v>79000</v>
      </c>
      <c r="C96" s="16" t="s">
        <v>220</v>
      </c>
      <c r="D96" s="16" t="s">
        <v>220</v>
      </c>
      <c r="E96" s="11">
        <v>9000</v>
      </c>
      <c r="F96" s="16" t="s">
        <v>222</v>
      </c>
      <c r="G96" s="11">
        <v>66000</v>
      </c>
      <c r="H96" s="16" t="s">
        <v>191</v>
      </c>
      <c r="I96" s="204" t="e">
        <f t="shared" si="9"/>
        <v>#VALUE!</v>
      </c>
      <c r="J96" s="204" t="e">
        <f t="shared" si="9"/>
        <v>#VALUE!</v>
      </c>
      <c r="K96" s="204">
        <f t="shared" si="9"/>
        <v>0.11392405063291139</v>
      </c>
      <c r="L96" s="204" t="e">
        <f t="shared" si="9"/>
        <v>#VALUE!</v>
      </c>
      <c r="M96" s="204">
        <f t="shared" si="9"/>
        <v>0.83544303797468356</v>
      </c>
      <c r="N96" s="204" t="e">
        <f t="shared" si="9"/>
        <v>#VALUE!</v>
      </c>
    </row>
    <row r="97" spans="1:14">
      <c r="A97" s="121" t="s">
        <v>378</v>
      </c>
      <c r="B97" s="106">
        <v>897000</v>
      </c>
      <c r="C97" s="16" t="s">
        <v>220</v>
      </c>
      <c r="D97" s="16" t="s">
        <v>220</v>
      </c>
      <c r="E97" s="11">
        <v>230000</v>
      </c>
      <c r="F97" s="11">
        <v>39000</v>
      </c>
      <c r="G97" s="11">
        <v>76000</v>
      </c>
      <c r="H97" s="11">
        <v>550000</v>
      </c>
      <c r="I97" s="204" t="e">
        <f t="shared" si="9"/>
        <v>#VALUE!</v>
      </c>
      <c r="J97" s="204" t="e">
        <f t="shared" si="9"/>
        <v>#VALUE!</v>
      </c>
      <c r="K97" s="204">
        <f t="shared" si="9"/>
        <v>0.25641025641025639</v>
      </c>
      <c r="L97" s="204">
        <f t="shared" si="9"/>
        <v>4.3478260869565216E-2</v>
      </c>
      <c r="M97" s="204">
        <f t="shared" si="9"/>
        <v>8.4726867335562991E-2</v>
      </c>
      <c r="N97" s="204">
        <f t="shared" si="9"/>
        <v>0.61315496098104794</v>
      </c>
    </row>
    <row r="98" spans="1:14">
      <c r="A98" s="121" t="s">
        <v>379</v>
      </c>
      <c r="B98" s="106">
        <v>3652000</v>
      </c>
      <c r="C98" s="11">
        <v>11000</v>
      </c>
      <c r="D98" s="11">
        <v>52000</v>
      </c>
      <c r="E98" s="11">
        <v>3069000</v>
      </c>
      <c r="F98" s="11">
        <v>96000</v>
      </c>
      <c r="G98" s="16" t="s">
        <v>191</v>
      </c>
      <c r="H98" s="11">
        <v>414000</v>
      </c>
      <c r="I98" s="204">
        <f t="shared" si="9"/>
        <v>3.0120481927710845E-3</v>
      </c>
      <c r="J98" s="204">
        <f t="shared" si="9"/>
        <v>1.4238773274917854E-2</v>
      </c>
      <c r="K98" s="204">
        <f t="shared" si="9"/>
        <v>0.84036144578313254</v>
      </c>
      <c r="L98" s="204">
        <f t="shared" si="9"/>
        <v>2.628696604600219E-2</v>
      </c>
      <c r="M98" s="204" t="e">
        <f t="shared" si="9"/>
        <v>#VALUE!</v>
      </c>
      <c r="N98" s="204">
        <f t="shared" si="9"/>
        <v>0.11336254107338445</v>
      </c>
    </row>
    <row r="99" spans="1:14">
      <c r="A99" s="121" t="s">
        <v>380</v>
      </c>
      <c r="B99" s="106">
        <v>1008000</v>
      </c>
      <c r="C99" s="11">
        <v>38000</v>
      </c>
      <c r="D99" s="11">
        <v>58000</v>
      </c>
      <c r="E99" s="11">
        <v>295000</v>
      </c>
      <c r="F99" s="11">
        <v>127000</v>
      </c>
      <c r="G99" s="11">
        <v>26000</v>
      </c>
      <c r="H99" s="11">
        <v>464000</v>
      </c>
      <c r="I99" s="204">
        <f t="shared" si="9"/>
        <v>3.7698412698412696E-2</v>
      </c>
      <c r="J99" s="204">
        <f t="shared" si="9"/>
        <v>5.7539682539682536E-2</v>
      </c>
      <c r="K99" s="204">
        <f t="shared" si="9"/>
        <v>0.29265873015873017</v>
      </c>
      <c r="L99" s="204">
        <f t="shared" si="9"/>
        <v>0.12599206349206349</v>
      </c>
      <c r="M99" s="204">
        <f t="shared" si="9"/>
        <v>2.5793650793650792E-2</v>
      </c>
      <c r="N99" s="204">
        <f t="shared" si="9"/>
        <v>0.46031746031746029</v>
      </c>
    </row>
    <row r="100" spans="1:14">
      <c r="A100" s="121" t="s">
        <v>381</v>
      </c>
      <c r="B100" s="105">
        <v>6438000</v>
      </c>
      <c r="C100" s="9">
        <v>89000</v>
      </c>
      <c r="D100" s="9">
        <v>56000</v>
      </c>
      <c r="E100" s="9">
        <v>3306000</v>
      </c>
      <c r="F100" s="9">
        <v>304000</v>
      </c>
      <c r="G100" s="9">
        <v>346000</v>
      </c>
      <c r="H100" s="9">
        <v>2336000</v>
      </c>
      <c r="I100" s="204">
        <f t="shared" si="9"/>
        <v>1.382416899658279E-2</v>
      </c>
      <c r="J100" s="204">
        <f t="shared" si="9"/>
        <v>8.6983535259397334E-3</v>
      </c>
      <c r="K100" s="204">
        <f t="shared" si="9"/>
        <v>0.51351351351351349</v>
      </c>
      <c r="L100" s="204">
        <f t="shared" si="9"/>
        <v>4.7219633426529975E-2</v>
      </c>
      <c r="M100" s="204">
        <f t="shared" si="9"/>
        <v>5.3743398570984778E-2</v>
      </c>
      <c r="N100" s="204">
        <f t="shared" si="9"/>
        <v>0.36284560422491458</v>
      </c>
    </row>
    <row r="101" spans="1:14">
      <c r="A101" s="114" t="s">
        <v>219</v>
      </c>
      <c r="B101" s="144">
        <v>14688000</v>
      </c>
      <c r="C101" s="143">
        <v>882000</v>
      </c>
      <c r="D101" s="143">
        <v>465000</v>
      </c>
      <c r="E101" s="143">
        <v>5847000</v>
      </c>
      <c r="F101" s="143">
        <v>1100000</v>
      </c>
      <c r="G101" s="143">
        <v>3042000</v>
      </c>
      <c r="H101" s="143">
        <v>3353000</v>
      </c>
      <c r="I101" s="204">
        <f t="shared" si="9"/>
        <v>6.0049019607843139E-2</v>
      </c>
      <c r="J101" s="204">
        <f t="shared" si="9"/>
        <v>3.1658496732026142E-2</v>
      </c>
      <c r="K101" s="204">
        <f t="shared" si="9"/>
        <v>0.3980800653594771</v>
      </c>
      <c r="L101" s="204">
        <f t="shared" si="9"/>
        <v>7.4891067538126369E-2</v>
      </c>
      <c r="M101" s="204">
        <f t="shared" si="9"/>
        <v>0.20710784313725492</v>
      </c>
      <c r="N101" s="204">
        <f t="shared" si="9"/>
        <v>0.22828159041394336</v>
      </c>
    </row>
    <row r="102" spans="1:14">
      <c r="A102" s="115" t="s">
        <v>174</v>
      </c>
      <c r="B102" s="105">
        <v>2411000</v>
      </c>
      <c r="C102" s="9">
        <v>700000</v>
      </c>
      <c r="D102" s="9">
        <v>236000</v>
      </c>
      <c r="E102" s="9">
        <v>494000</v>
      </c>
      <c r="F102" s="9">
        <v>544000</v>
      </c>
      <c r="G102" s="9">
        <v>146000</v>
      </c>
      <c r="H102" s="9">
        <v>291000</v>
      </c>
      <c r="I102" s="204">
        <f t="shared" si="9"/>
        <v>0.29033596018249691</v>
      </c>
      <c r="J102" s="204">
        <f t="shared" si="9"/>
        <v>9.788469514724181E-2</v>
      </c>
      <c r="K102" s="204">
        <f t="shared" si="9"/>
        <v>0.2048942347573621</v>
      </c>
      <c r="L102" s="204">
        <f t="shared" si="9"/>
        <v>0.22563251762754044</v>
      </c>
      <c r="M102" s="204">
        <f t="shared" si="9"/>
        <v>6.0555785980920783E-2</v>
      </c>
      <c r="N102" s="204">
        <f t="shared" si="9"/>
        <v>0.12069680630443799</v>
      </c>
    </row>
    <row r="103" spans="1:14" ht="24">
      <c r="A103" s="116" t="s">
        <v>227</v>
      </c>
      <c r="B103" s="106">
        <v>188000</v>
      </c>
      <c r="C103" s="11">
        <v>3000</v>
      </c>
      <c r="D103" s="11">
        <v>2000</v>
      </c>
      <c r="E103" s="11">
        <v>26000</v>
      </c>
      <c r="F103" s="11">
        <v>115000</v>
      </c>
      <c r="G103" s="11">
        <v>16000</v>
      </c>
      <c r="H103" s="11">
        <v>27000</v>
      </c>
      <c r="I103" s="204">
        <f t="shared" si="9"/>
        <v>1.5957446808510637E-2</v>
      </c>
      <c r="J103" s="204">
        <f t="shared" si="9"/>
        <v>1.0638297872340425E-2</v>
      </c>
      <c r="K103" s="204">
        <f t="shared" si="9"/>
        <v>0.13829787234042554</v>
      </c>
      <c r="L103" s="204">
        <f t="shared" si="9"/>
        <v>0.61170212765957444</v>
      </c>
      <c r="M103" s="204">
        <f t="shared" si="9"/>
        <v>8.5106382978723402E-2</v>
      </c>
      <c r="N103" s="204">
        <f t="shared" si="9"/>
        <v>0.14361702127659576</v>
      </c>
    </row>
    <row r="104" spans="1:14">
      <c r="A104" s="117" t="s">
        <v>343</v>
      </c>
      <c r="B104" s="106">
        <v>23000</v>
      </c>
      <c r="C104" s="16" t="s">
        <v>220</v>
      </c>
      <c r="D104" s="16" t="s">
        <v>220</v>
      </c>
      <c r="E104" s="11">
        <v>1000</v>
      </c>
      <c r="F104" s="11">
        <v>18000</v>
      </c>
      <c r="G104" s="16" t="s">
        <v>220</v>
      </c>
      <c r="H104" s="11">
        <v>4000</v>
      </c>
      <c r="I104" s="204" t="e">
        <f t="shared" si="9"/>
        <v>#VALUE!</v>
      </c>
      <c r="J104" s="204" t="e">
        <f t="shared" si="9"/>
        <v>#VALUE!</v>
      </c>
      <c r="K104" s="204">
        <f t="shared" si="9"/>
        <v>4.3478260869565216E-2</v>
      </c>
      <c r="L104" s="204">
        <f t="shared" si="9"/>
        <v>0.78260869565217395</v>
      </c>
      <c r="M104" s="204" t="e">
        <f t="shared" si="9"/>
        <v>#VALUE!</v>
      </c>
      <c r="N104" s="204">
        <f t="shared" si="9"/>
        <v>0.17391304347826086</v>
      </c>
    </row>
    <row r="105" spans="1:14">
      <c r="A105" s="117" t="s">
        <v>344</v>
      </c>
      <c r="B105" s="106">
        <v>133000</v>
      </c>
      <c r="C105" s="11">
        <v>3000</v>
      </c>
      <c r="D105" s="11">
        <v>2000</v>
      </c>
      <c r="E105" s="11">
        <v>22000</v>
      </c>
      <c r="F105" s="11">
        <v>86000</v>
      </c>
      <c r="G105" s="11">
        <v>2000</v>
      </c>
      <c r="H105" s="11">
        <v>18000</v>
      </c>
      <c r="I105" s="204">
        <f t="shared" si="9"/>
        <v>2.2556390977443608E-2</v>
      </c>
      <c r="J105" s="204">
        <f t="shared" si="9"/>
        <v>1.5037593984962405E-2</v>
      </c>
      <c r="K105" s="204">
        <f t="shared" si="9"/>
        <v>0.16541353383458646</v>
      </c>
      <c r="L105" s="204">
        <f t="shared" si="9"/>
        <v>0.64661654135338342</v>
      </c>
      <c r="M105" s="204">
        <f t="shared" si="9"/>
        <v>1.5037593984962405E-2</v>
      </c>
      <c r="N105" s="204">
        <f t="shared" si="9"/>
        <v>0.13533834586466165</v>
      </c>
    </row>
    <row r="106" spans="1:14">
      <c r="A106" s="186" t="s">
        <v>345</v>
      </c>
      <c r="B106" s="105">
        <v>16000</v>
      </c>
      <c r="C106" s="13" t="s">
        <v>220</v>
      </c>
      <c r="D106" s="13" t="s">
        <v>220</v>
      </c>
      <c r="E106" s="9">
        <v>3000</v>
      </c>
      <c r="F106" s="13" t="s">
        <v>191</v>
      </c>
      <c r="G106" s="13" t="s">
        <v>220</v>
      </c>
      <c r="H106" s="9">
        <v>3000</v>
      </c>
      <c r="I106" s="204" t="e">
        <f t="shared" si="9"/>
        <v>#VALUE!</v>
      </c>
      <c r="J106" s="204" t="e">
        <f t="shared" si="9"/>
        <v>#VALUE!</v>
      </c>
      <c r="K106" s="204">
        <f t="shared" si="9"/>
        <v>0.1875</v>
      </c>
      <c r="L106" s="204" t="e">
        <f t="shared" si="9"/>
        <v>#VALUE!</v>
      </c>
      <c r="M106" s="204" t="e">
        <f t="shared" si="9"/>
        <v>#VALUE!</v>
      </c>
      <c r="N106" s="204">
        <f t="shared" si="9"/>
        <v>0.1875</v>
      </c>
    </row>
    <row r="107" spans="1:14" ht="24">
      <c r="A107" s="117" t="s">
        <v>346</v>
      </c>
      <c r="B107" s="106">
        <v>16000</v>
      </c>
      <c r="C107" s="16" t="s">
        <v>220</v>
      </c>
      <c r="D107" s="16" t="s">
        <v>220</v>
      </c>
      <c r="E107" s="16" t="s">
        <v>220</v>
      </c>
      <c r="F107" s="11">
        <v>1000</v>
      </c>
      <c r="G107" s="11">
        <v>13000</v>
      </c>
      <c r="H107" s="16" t="s">
        <v>220</v>
      </c>
      <c r="I107" s="204" t="e">
        <f t="shared" si="9"/>
        <v>#VALUE!</v>
      </c>
      <c r="J107" s="204" t="e">
        <f t="shared" si="9"/>
        <v>#VALUE!</v>
      </c>
      <c r="K107" s="204" t="e">
        <f t="shared" si="9"/>
        <v>#VALUE!</v>
      </c>
      <c r="L107" s="204">
        <f t="shared" si="9"/>
        <v>6.25E-2</v>
      </c>
      <c r="M107" s="204">
        <f t="shared" si="9"/>
        <v>0.8125</v>
      </c>
      <c r="N107" s="204" t="e">
        <f t="shared" si="9"/>
        <v>#VALUE!</v>
      </c>
    </row>
    <row r="108" spans="1:14">
      <c r="A108" s="116" t="s">
        <v>228</v>
      </c>
      <c r="B108" s="106">
        <v>1251000</v>
      </c>
      <c r="C108" s="11">
        <v>645000</v>
      </c>
      <c r="D108" s="11">
        <v>77000</v>
      </c>
      <c r="E108" s="11">
        <v>229000</v>
      </c>
      <c r="F108" s="11">
        <v>169000</v>
      </c>
      <c r="G108" s="11">
        <v>54000</v>
      </c>
      <c r="H108" s="11">
        <v>78000</v>
      </c>
      <c r="I108" s="204">
        <f t="shared" si="9"/>
        <v>0.5155875299760192</v>
      </c>
      <c r="J108" s="204">
        <f t="shared" si="9"/>
        <v>6.1550759392486012E-2</v>
      </c>
      <c r="K108" s="204">
        <f t="shared" si="9"/>
        <v>0.18305355715427657</v>
      </c>
      <c r="L108" s="204">
        <f t="shared" si="9"/>
        <v>0.13509192645883294</v>
      </c>
      <c r="M108" s="204">
        <f t="shared" si="9"/>
        <v>4.3165467625899283E-2</v>
      </c>
      <c r="N108" s="204">
        <f t="shared" si="9"/>
        <v>6.235011990407674E-2</v>
      </c>
    </row>
    <row r="109" spans="1:14">
      <c r="A109" s="117" t="s">
        <v>347</v>
      </c>
      <c r="B109" s="142">
        <v>1072000</v>
      </c>
      <c r="C109" s="29">
        <v>615000</v>
      </c>
      <c r="D109" s="29">
        <v>65000</v>
      </c>
      <c r="E109" s="29">
        <v>199000</v>
      </c>
      <c r="F109" s="29">
        <v>118000</v>
      </c>
      <c r="G109" s="29">
        <v>9000</v>
      </c>
      <c r="H109" s="29">
        <v>66000</v>
      </c>
      <c r="I109" s="204">
        <f>C109/$B109</f>
        <v>0.57369402985074625</v>
      </c>
      <c r="J109" s="204">
        <f t="shared" ref="J109:N124" si="10">D109/$B109</f>
        <v>6.0634328358208957E-2</v>
      </c>
      <c r="K109" s="204">
        <f t="shared" si="10"/>
        <v>0.18563432835820895</v>
      </c>
      <c r="L109" s="204">
        <f t="shared" si="10"/>
        <v>0.11007462686567164</v>
      </c>
      <c r="M109" s="204">
        <f t="shared" si="10"/>
        <v>8.3955223880597014E-3</v>
      </c>
      <c r="N109" s="204">
        <f t="shared" si="10"/>
        <v>6.1567164179104475E-2</v>
      </c>
    </row>
    <row r="110" spans="1:14">
      <c r="A110" s="117" t="s">
        <v>348</v>
      </c>
      <c r="B110" s="105">
        <v>133000</v>
      </c>
      <c r="C110" s="9">
        <v>28000</v>
      </c>
      <c r="D110" s="9">
        <v>11000</v>
      </c>
      <c r="E110" s="9">
        <v>28000</v>
      </c>
      <c r="F110" s="9">
        <v>49000</v>
      </c>
      <c r="G110" s="13" t="s">
        <v>191</v>
      </c>
      <c r="H110" s="9">
        <v>12000</v>
      </c>
      <c r="I110" s="204">
        <f t="shared" ref="I110:N144" si="11">C110/$B110</f>
        <v>0.21052631578947367</v>
      </c>
      <c r="J110" s="204">
        <f t="shared" si="10"/>
        <v>8.2706766917293228E-2</v>
      </c>
      <c r="K110" s="204">
        <f t="shared" si="10"/>
        <v>0.21052631578947367</v>
      </c>
      <c r="L110" s="204">
        <f t="shared" si="10"/>
        <v>0.36842105263157893</v>
      </c>
      <c r="M110" s="204" t="e">
        <f t="shared" si="10"/>
        <v>#VALUE!</v>
      </c>
      <c r="N110" s="204">
        <f t="shared" si="10"/>
        <v>9.0225563909774431E-2</v>
      </c>
    </row>
    <row r="111" spans="1:14" ht="24">
      <c r="A111" s="117" t="s">
        <v>349</v>
      </c>
      <c r="B111" s="106">
        <v>46000</v>
      </c>
      <c r="C111" s="16" t="s">
        <v>220</v>
      </c>
      <c r="D111" s="16" t="s">
        <v>220</v>
      </c>
      <c r="E111" s="11">
        <v>1000</v>
      </c>
      <c r="F111" s="16" t="s">
        <v>191</v>
      </c>
      <c r="G111" s="11">
        <v>40000</v>
      </c>
      <c r="H111" s="16" t="s">
        <v>220</v>
      </c>
      <c r="I111" s="204" t="e">
        <f t="shared" si="11"/>
        <v>#VALUE!</v>
      </c>
      <c r="J111" s="204" t="e">
        <f t="shared" si="10"/>
        <v>#VALUE!</v>
      </c>
      <c r="K111" s="204">
        <f t="shared" si="10"/>
        <v>2.1739130434782608E-2</v>
      </c>
      <c r="L111" s="204" t="e">
        <f t="shared" si="10"/>
        <v>#VALUE!</v>
      </c>
      <c r="M111" s="204">
        <f t="shared" si="10"/>
        <v>0.86956521739130432</v>
      </c>
      <c r="N111" s="204" t="e">
        <f t="shared" si="10"/>
        <v>#VALUE!</v>
      </c>
    </row>
    <row r="112" spans="1:14">
      <c r="A112" s="186" t="s">
        <v>229</v>
      </c>
      <c r="B112" s="105">
        <v>105000</v>
      </c>
      <c r="C112" s="9">
        <v>1000</v>
      </c>
      <c r="D112" s="9">
        <v>2000</v>
      </c>
      <c r="E112" s="9">
        <v>18000</v>
      </c>
      <c r="F112" s="9">
        <v>51000</v>
      </c>
      <c r="G112" s="9">
        <v>16000</v>
      </c>
      <c r="H112" s="9">
        <v>16000</v>
      </c>
      <c r="I112" s="204">
        <f t="shared" si="11"/>
        <v>9.5238095238095247E-3</v>
      </c>
      <c r="J112" s="204">
        <f t="shared" si="10"/>
        <v>1.9047619047619049E-2</v>
      </c>
      <c r="K112" s="204">
        <f t="shared" si="10"/>
        <v>0.17142857142857143</v>
      </c>
      <c r="L112" s="204">
        <f t="shared" si="10"/>
        <v>0.48571428571428571</v>
      </c>
      <c r="M112" s="204">
        <f t="shared" si="10"/>
        <v>0.15238095238095239</v>
      </c>
      <c r="N112" s="204">
        <f t="shared" si="10"/>
        <v>0.15238095238095239</v>
      </c>
    </row>
    <row r="113" spans="1:14">
      <c r="A113" s="117" t="s">
        <v>350</v>
      </c>
      <c r="B113" s="106">
        <v>19000</v>
      </c>
      <c r="C113" s="16" t="s">
        <v>220</v>
      </c>
      <c r="D113" s="16" t="s">
        <v>222</v>
      </c>
      <c r="E113" s="11">
        <v>3000</v>
      </c>
      <c r="F113" s="11">
        <v>10000</v>
      </c>
      <c r="G113" s="16" t="s">
        <v>220</v>
      </c>
      <c r="H113" s="11">
        <v>5000</v>
      </c>
      <c r="I113" s="204" t="e">
        <f t="shared" si="11"/>
        <v>#VALUE!</v>
      </c>
      <c r="J113" s="204" t="e">
        <f t="shared" si="10"/>
        <v>#VALUE!</v>
      </c>
      <c r="K113" s="204">
        <f t="shared" si="10"/>
        <v>0.15789473684210525</v>
      </c>
      <c r="L113" s="204">
        <f t="shared" si="10"/>
        <v>0.52631578947368418</v>
      </c>
      <c r="M113" s="204" t="e">
        <f t="shared" si="10"/>
        <v>#VALUE!</v>
      </c>
      <c r="N113" s="204">
        <f t="shared" si="10"/>
        <v>0.26315789473684209</v>
      </c>
    </row>
    <row r="114" spans="1:14">
      <c r="A114" s="117" t="s">
        <v>351</v>
      </c>
      <c r="B114" s="106">
        <v>32000</v>
      </c>
      <c r="C114" s="11">
        <v>1000</v>
      </c>
      <c r="D114" s="16" t="s">
        <v>191</v>
      </c>
      <c r="E114" s="11">
        <v>7000</v>
      </c>
      <c r="F114" s="11">
        <v>18000</v>
      </c>
      <c r="G114" s="16" t="s">
        <v>220</v>
      </c>
      <c r="H114" s="11">
        <v>5000</v>
      </c>
      <c r="I114" s="204">
        <f t="shared" si="11"/>
        <v>3.125E-2</v>
      </c>
      <c r="J114" s="204" t="e">
        <f t="shared" si="10"/>
        <v>#VALUE!</v>
      </c>
      <c r="K114" s="204">
        <f t="shared" si="10"/>
        <v>0.21875</v>
      </c>
      <c r="L114" s="204">
        <f t="shared" si="10"/>
        <v>0.5625</v>
      </c>
      <c r="M114" s="204" t="e">
        <f t="shared" si="10"/>
        <v>#VALUE!</v>
      </c>
      <c r="N114" s="204">
        <f t="shared" si="10"/>
        <v>0.15625</v>
      </c>
    </row>
    <row r="115" spans="1:14">
      <c r="A115" s="117" t="s">
        <v>352</v>
      </c>
      <c r="B115" s="105">
        <v>10000</v>
      </c>
      <c r="C115" s="13" t="s">
        <v>220</v>
      </c>
      <c r="D115" s="13" t="s">
        <v>220</v>
      </c>
      <c r="E115" s="13" t="s">
        <v>220</v>
      </c>
      <c r="F115" s="9">
        <v>8000</v>
      </c>
      <c r="G115" s="13" t="s">
        <v>220</v>
      </c>
      <c r="H115" s="13" t="s">
        <v>191</v>
      </c>
      <c r="I115" s="204" t="e">
        <f t="shared" si="11"/>
        <v>#VALUE!</v>
      </c>
      <c r="J115" s="204" t="e">
        <f t="shared" si="10"/>
        <v>#VALUE!</v>
      </c>
      <c r="K115" s="204" t="e">
        <f t="shared" si="10"/>
        <v>#VALUE!</v>
      </c>
      <c r="L115" s="204">
        <f t="shared" si="10"/>
        <v>0.8</v>
      </c>
      <c r="M115" s="204" t="e">
        <f t="shared" si="10"/>
        <v>#VALUE!</v>
      </c>
      <c r="N115" s="204" t="e">
        <f t="shared" si="10"/>
        <v>#VALUE!</v>
      </c>
    </row>
    <row r="116" spans="1:14" ht="24">
      <c r="A116" s="117" t="s">
        <v>353</v>
      </c>
      <c r="B116" s="132">
        <v>25000</v>
      </c>
      <c r="C116" s="26" t="s">
        <v>220</v>
      </c>
      <c r="D116" s="26" t="s">
        <v>220</v>
      </c>
      <c r="E116" s="25">
        <v>7000</v>
      </c>
      <c r="F116" s="25">
        <v>12000</v>
      </c>
      <c r="G116" s="26" t="s">
        <v>220</v>
      </c>
      <c r="H116" s="25">
        <v>5000</v>
      </c>
      <c r="I116" s="204" t="e">
        <f t="shared" si="11"/>
        <v>#VALUE!</v>
      </c>
      <c r="J116" s="204" t="e">
        <f t="shared" si="10"/>
        <v>#VALUE!</v>
      </c>
      <c r="K116" s="204">
        <f t="shared" si="10"/>
        <v>0.28000000000000003</v>
      </c>
      <c r="L116" s="204">
        <f t="shared" si="10"/>
        <v>0.48</v>
      </c>
      <c r="M116" s="204" t="e">
        <f t="shared" si="10"/>
        <v>#VALUE!</v>
      </c>
      <c r="N116" s="204">
        <f t="shared" si="10"/>
        <v>0.2</v>
      </c>
    </row>
    <row r="117" spans="1:14" ht="24">
      <c r="A117" s="117" t="s">
        <v>354</v>
      </c>
      <c r="B117" s="106">
        <v>19000</v>
      </c>
      <c r="C117" s="16" t="s">
        <v>220</v>
      </c>
      <c r="D117" s="16" t="s">
        <v>220</v>
      </c>
      <c r="E117" s="16" t="s">
        <v>220</v>
      </c>
      <c r="F117" s="11">
        <v>3000</v>
      </c>
      <c r="G117" s="11">
        <v>16000</v>
      </c>
      <c r="H117" s="16" t="s">
        <v>220</v>
      </c>
      <c r="I117" s="204" t="e">
        <f t="shared" si="11"/>
        <v>#VALUE!</v>
      </c>
      <c r="J117" s="204" t="e">
        <f t="shared" si="10"/>
        <v>#VALUE!</v>
      </c>
      <c r="K117" s="204" t="e">
        <f t="shared" si="10"/>
        <v>#VALUE!</v>
      </c>
      <c r="L117" s="204">
        <f t="shared" si="10"/>
        <v>0.15789473684210525</v>
      </c>
      <c r="M117" s="204">
        <f t="shared" si="10"/>
        <v>0.84210526315789469</v>
      </c>
      <c r="N117" s="204" t="e">
        <f t="shared" si="10"/>
        <v>#VALUE!</v>
      </c>
    </row>
    <row r="118" spans="1:14">
      <c r="A118" s="116" t="s">
        <v>230</v>
      </c>
      <c r="B118" s="105">
        <v>283000</v>
      </c>
      <c r="C118" s="13" t="s">
        <v>191</v>
      </c>
      <c r="D118" s="9">
        <v>4000</v>
      </c>
      <c r="E118" s="9">
        <v>46000</v>
      </c>
      <c r="F118" s="9">
        <v>71000</v>
      </c>
      <c r="G118" s="9">
        <v>48000</v>
      </c>
      <c r="H118" s="9">
        <v>103000</v>
      </c>
      <c r="I118" s="204" t="e">
        <f t="shared" si="11"/>
        <v>#VALUE!</v>
      </c>
      <c r="J118" s="204">
        <f t="shared" si="10"/>
        <v>1.4134275618374558E-2</v>
      </c>
      <c r="K118" s="204">
        <f t="shared" si="10"/>
        <v>0.16254416961130741</v>
      </c>
      <c r="L118" s="204">
        <f t="shared" si="10"/>
        <v>0.25088339222614842</v>
      </c>
      <c r="M118" s="204">
        <f t="shared" si="10"/>
        <v>0.16961130742049471</v>
      </c>
      <c r="N118" s="204">
        <f t="shared" si="10"/>
        <v>0.36395759717314485</v>
      </c>
    </row>
    <row r="119" spans="1:14">
      <c r="A119" s="117" t="s">
        <v>355</v>
      </c>
      <c r="B119" s="105">
        <v>23000</v>
      </c>
      <c r="C119" s="13" t="s">
        <v>191</v>
      </c>
      <c r="D119" s="13" t="s">
        <v>222</v>
      </c>
      <c r="E119" s="13" t="s">
        <v>191</v>
      </c>
      <c r="F119" s="9">
        <v>8000</v>
      </c>
      <c r="G119" s="13" t="s">
        <v>220</v>
      </c>
      <c r="H119" s="9">
        <v>3000</v>
      </c>
      <c r="I119" s="204" t="e">
        <f t="shared" si="11"/>
        <v>#VALUE!</v>
      </c>
      <c r="J119" s="204" t="e">
        <f t="shared" si="10"/>
        <v>#VALUE!</v>
      </c>
      <c r="K119" s="204" t="e">
        <f t="shared" si="10"/>
        <v>#VALUE!</v>
      </c>
      <c r="L119" s="204">
        <f t="shared" si="10"/>
        <v>0.34782608695652173</v>
      </c>
      <c r="M119" s="204" t="e">
        <f t="shared" si="10"/>
        <v>#VALUE!</v>
      </c>
      <c r="N119" s="204">
        <f t="shared" si="10"/>
        <v>0.13043478260869565</v>
      </c>
    </row>
    <row r="120" spans="1:14">
      <c r="A120" s="117" t="s">
        <v>356</v>
      </c>
      <c r="B120" s="105">
        <v>21000</v>
      </c>
      <c r="C120" s="13" t="s">
        <v>220</v>
      </c>
      <c r="D120" s="13" t="s">
        <v>220</v>
      </c>
      <c r="E120" s="9">
        <v>4000</v>
      </c>
      <c r="F120" s="9">
        <v>7000</v>
      </c>
      <c r="G120" s="13" t="s">
        <v>220</v>
      </c>
      <c r="H120" s="9">
        <v>8000</v>
      </c>
      <c r="I120" s="204" t="e">
        <f t="shared" si="11"/>
        <v>#VALUE!</v>
      </c>
      <c r="J120" s="204" t="e">
        <f t="shared" si="10"/>
        <v>#VALUE!</v>
      </c>
      <c r="K120" s="204">
        <f t="shared" si="10"/>
        <v>0.19047619047619047</v>
      </c>
      <c r="L120" s="204">
        <f t="shared" si="10"/>
        <v>0.33333333333333331</v>
      </c>
      <c r="M120" s="204" t="e">
        <f t="shared" si="10"/>
        <v>#VALUE!</v>
      </c>
      <c r="N120" s="204">
        <f t="shared" si="10"/>
        <v>0.38095238095238093</v>
      </c>
    </row>
    <row r="121" spans="1:14">
      <c r="A121" s="117" t="s">
        <v>357</v>
      </c>
      <c r="B121" s="105">
        <v>96000</v>
      </c>
      <c r="C121" s="13" t="s">
        <v>220</v>
      </c>
      <c r="D121" s="13" t="s">
        <v>220</v>
      </c>
      <c r="E121" s="9">
        <v>4000</v>
      </c>
      <c r="F121" s="9">
        <v>10000</v>
      </c>
      <c r="G121" s="9">
        <v>1000</v>
      </c>
      <c r="H121" s="9">
        <v>81000</v>
      </c>
      <c r="I121" s="204" t="e">
        <f t="shared" si="11"/>
        <v>#VALUE!</v>
      </c>
      <c r="J121" s="204" t="e">
        <f t="shared" si="10"/>
        <v>#VALUE!</v>
      </c>
      <c r="K121" s="204">
        <f t="shared" si="10"/>
        <v>4.1666666666666664E-2</v>
      </c>
      <c r="L121" s="204">
        <f t="shared" si="10"/>
        <v>0.10416666666666667</v>
      </c>
      <c r="M121" s="204">
        <f t="shared" si="10"/>
        <v>1.0416666666666666E-2</v>
      </c>
      <c r="N121" s="204">
        <f t="shared" si="10"/>
        <v>0.84375</v>
      </c>
    </row>
    <row r="122" spans="1:14">
      <c r="A122" s="117" t="s">
        <v>358</v>
      </c>
      <c r="B122" s="105">
        <v>7000</v>
      </c>
      <c r="C122" s="13" t="s">
        <v>220</v>
      </c>
      <c r="D122" s="13" t="s">
        <v>220</v>
      </c>
      <c r="E122" s="9">
        <v>3000</v>
      </c>
      <c r="F122" s="9">
        <v>4000</v>
      </c>
      <c r="G122" s="13" t="s">
        <v>220</v>
      </c>
      <c r="H122" s="9">
        <v>1000</v>
      </c>
      <c r="I122" s="204" t="e">
        <f t="shared" si="11"/>
        <v>#VALUE!</v>
      </c>
      <c r="J122" s="204" t="e">
        <f t="shared" si="10"/>
        <v>#VALUE!</v>
      </c>
      <c r="K122" s="204">
        <f t="shared" si="10"/>
        <v>0.42857142857142855</v>
      </c>
      <c r="L122" s="204">
        <f t="shared" si="10"/>
        <v>0.5714285714285714</v>
      </c>
      <c r="M122" s="204" t="e">
        <f t="shared" si="10"/>
        <v>#VALUE!</v>
      </c>
      <c r="N122" s="204">
        <f t="shared" si="10"/>
        <v>0.14285714285714285</v>
      </c>
    </row>
    <row r="123" spans="1:14">
      <c r="A123" s="117" t="s">
        <v>359</v>
      </c>
      <c r="B123" s="106">
        <v>81000</v>
      </c>
      <c r="C123" s="16" t="s">
        <v>191</v>
      </c>
      <c r="D123" s="11">
        <v>4000</v>
      </c>
      <c r="E123" s="11">
        <v>28000</v>
      </c>
      <c r="F123" s="11">
        <v>37000</v>
      </c>
      <c r="G123" s="16" t="s">
        <v>191</v>
      </c>
      <c r="H123" s="11">
        <v>9000</v>
      </c>
      <c r="I123" s="204" t="e">
        <f t="shared" si="11"/>
        <v>#VALUE!</v>
      </c>
      <c r="J123" s="204">
        <f t="shared" si="10"/>
        <v>4.9382716049382713E-2</v>
      </c>
      <c r="K123" s="204">
        <f t="shared" si="10"/>
        <v>0.34567901234567899</v>
      </c>
      <c r="L123" s="204">
        <f t="shared" si="10"/>
        <v>0.4567901234567901</v>
      </c>
      <c r="M123" s="204" t="e">
        <f t="shared" si="10"/>
        <v>#VALUE!</v>
      </c>
      <c r="N123" s="204">
        <f t="shared" si="10"/>
        <v>0.1111111111111111</v>
      </c>
    </row>
    <row r="124" spans="1:14" ht="24">
      <c r="A124" s="117" t="s">
        <v>360</v>
      </c>
      <c r="B124" s="106">
        <v>55000</v>
      </c>
      <c r="C124" s="16" t="s">
        <v>220</v>
      </c>
      <c r="D124" s="16" t="s">
        <v>220</v>
      </c>
      <c r="E124" s="16" t="s">
        <v>191</v>
      </c>
      <c r="F124" s="11">
        <v>6000</v>
      </c>
      <c r="G124" s="11">
        <v>44000</v>
      </c>
      <c r="H124" s="16" t="s">
        <v>220</v>
      </c>
      <c r="I124" s="204" t="e">
        <f t="shared" si="11"/>
        <v>#VALUE!</v>
      </c>
      <c r="J124" s="204" t="e">
        <f t="shared" si="10"/>
        <v>#VALUE!</v>
      </c>
      <c r="K124" s="204" t="e">
        <f t="shared" si="10"/>
        <v>#VALUE!</v>
      </c>
      <c r="L124" s="204">
        <f t="shared" si="10"/>
        <v>0.10909090909090909</v>
      </c>
      <c r="M124" s="204">
        <f t="shared" si="10"/>
        <v>0.8</v>
      </c>
      <c r="N124" s="204" t="e">
        <f t="shared" si="10"/>
        <v>#VALUE!</v>
      </c>
    </row>
    <row r="125" spans="1:14">
      <c r="A125" s="116" t="s">
        <v>231</v>
      </c>
      <c r="B125" s="105">
        <v>584000</v>
      </c>
      <c r="C125" s="9">
        <v>42000</v>
      </c>
      <c r="D125" s="9">
        <v>150000</v>
      </c>
      <c r="E125" s="9">
        <v>174000</v>
      </c>
      <c r="F125" s="9">
        <v>138000</v>
      </c>
      <c r="G125" s="9">
        <v>12000</v>
      </c>
      <c r="H125" s="9">
        <v>68000</v>
      </c>
      <c r="I125" s="204">
        <f t="shared" si="11"/>
        <v>7.1917808219178078E-2</v>
      </c>
      <c r="J125" s="204">
        <f t="shared" si="11"/>
        <v>0.25684931506849318</v>
      </c>
      <c r="K125" s="204">
        <f t="shared" si="11"/>
        <v>0.29794520547945208</v>
      </c>
      <c r="L125" s="204">
        <f t="shared" si="11"/>
        <v>0.2363013698630137</v>
      </c>
      <c r="M125" s="204">
        <f t="shared" si="11"/>
        <v>2.0547945205479451E-2</v>
      </c>
      <c r="N125" s="204">
        <f t="shared" si="11"/>
        <v>0.11643835616438356</v>
      </c>
    </row>
    <row r="126" spans="1:14" ht="24">
      <c r="A126" s="117" t="s">
        <v>361</v>
      </c>
      <c r="B126" s="106">
        <v>53000</v>
      </c>
      <c r="C126" s="11">
        <v>2000</v>
      </c>
      <c r="D126" s="11">
        <v>11000</v>
      </c>
      <c r="E126" s="11">
        <v>14000</v>
      </c>
      <c r="F126" s="11">
        <v>21000</v>
      </c>
      <c r="G126" s="16" t="s">
        <v>220</v>
      </c>
      <c r="H126" s="11">
        <v>4000</v>
      </c>
      <c r="I126" s="204">
        <f t="shared" si="11"/>
        <v>3.7735849056603772E-2</v>
      </c>
      <c r="J126" s="204">
        <f t="shared" si="11"/>
        <v>0.20754716981132076</v>
      </c>
      <c r="K126" s="204">
        <f t="shared" si="11"/>
        <v>0.26415094339622641</v>
      </c>
      <c r="L126" s="204">
        <f t="shared" si="11"/>
        <v>0.39622641509433965</v>
      </c>
      <c r="M126" s="204" t="e">
        <f t="shared" si="11"/>
        <v>#VALUE!</v>
      </c>
      <c r="N126" s="204">
        <f t="shared" si="11"/>
        <v>7.5471698113207544E-2</v>
      </c>
    </row>
    <row r="127" spans="1:14">
      <c r="A127" s="117" t="s">
        <v>362</v>
      </c>
      <c r="B127" s="105">
        <v>18000</v>
      </c>
      <c r="C127" s="13" t="s">
        <v>191</v>
      </c>
      <c r="D127" s="9">
        <v>3000</v>
      </c>
      <c r="E127" s="9">
        <v>7000</v>
      </c>
      <c r="F127" s="9">
        <v>4000</v>
      </c>
      <c r="G127" s="13" t="s">
        <v>220</v>
      </c>
      <c r="H127" s="9">
        <v>3000</v>
      </c>
      <c r="I127" s="204" t="e">
        <f t="shared" si="11"/>
        <v>#VALUE!</v>
      </c>
      <c r="J127" s="204">
        <f t="shared" si="11"/>
        <v>0.16666666666666666</v>
      </c>
      <c r="K127" s="204">
        <f t="shared" si="11"/>
        <v>0.3888888888888889</v>
      </c>
      <c r="L127" s="204">
        <f t="shared" si="11"/>
        <v>0.22222222222222221</v>
      </c>
      <c r="M127" s="204" t="e">
        <f t="shared" si="11"/>
        <v>#VALUE!</v>
      </c>
      <c r="N127" s="204">
        <f t="shared" si="11"/>
        <v>0.16666666666666666</v>
      </c>
    </row>
    <row r="128" spans="1:14">
      <c r="A128" s="117" t="s">
        <v>363</v>
      </c>
      <c r="B128" s="106">
        <v>98000</v>
      </c>
      <c r="C128" s="11">
        <v>1000</v>
      </c>
      <c r="D128" s="11">
        <v>34000</v>
      </c>
      <c r="E128" s="11">
        <v>33000</v>
      </c>
      <c r="F128" s="11">
        <v>13000</v>
      </c>
      <c r="G128" s="16" t="s">
        <v>220</v>
      </c>
      <c r="H128" s="11">
        <v>17000</v>
      </c>
      <c r="I128" s="204">
        <f t="shared" si="11"/>
        <v>1.020408163265306E-2</v>
      </c>
      <c r="J128" s="204">
        <f t="shared" si="11"/>
        <v>0.34693877551020408</v>
      </c>
      <c r="K128" s="204">
        <f t="shared" si="11"/>
        <v>0.33673469387755101</v>
      </c>
      <c r="L128" s="204">
        <f t="shared" si="11"/>
        <v>0.1326530612244898</v>
      </c>
      <c r="M128" s="204" t="e">
        <f t="shared" si="11"/>
        <v>#VALUE!</v>
      </c>
      <c r="N128" s="204">
        <f t="shared" si="11"/>
        <v>0.17346938775510204</v>
      </c>
    </row>
    <row r="129" spans="1:14" ht="24">
      <c r="A129" s="117" t="s">
        <v>364</v>
      </c>
      <c r="B129" s="106">
        <v>124000</v>
      </c>
      <c r="C129" s="11">
        <v>22000</v>
      </c>
      <c r="D129" s="11">
        <v>35000</v>
      </c>
      <c r="E129" s="11">
        <v>26000</v>
      </c>
      <c r="F129" s="11">
        <v>32000</v>
      </c>
      <c r="G129" s="16" t="s">
        <v>220</v>
      </c>
      <c r="H129" s="11">
        <v>9000</v>
      </c>
      <c r="I129" s="204">
        <f t="shared" si="11"/>
        <v>0.17741935483870969</v>
      </c>
      <c r="J129" s="204">
        <f t="shared" si="11"/>
        <v>0.28225806451612906</v>
      </c>
      <c r="K129" s="204">
        <f t="shared" si="11"/>
        <v>0.20967741935483872</v>
      </c>
      <c r="L129" s="204">
        <f t="shared" si="11"/>
        <v>0.25806451612903225</v>
      </c>
      <c r="M129" s="204" t="e">
        <f t="shared" si="11"/>
        <v>#VALUE!</v>
      </c>
      <c r="N129" s="204">
        <f t="shared" si="11"/>
        <v>7.2580645161290328E-2</v>
      </c>
    </row>
    <row r="130" spans="1:14">
      <c r="A130" s="117" t="s">
        <v>365</v>
      </c>
      <c r="B130" s="105">
        <v>33000</v>
      </c>
      <c r="C130" s="9">
        <v>4000</v>
      </c>
      <c r="D130" s="9">
        <v>6000</v>
      </c>
      <c r="E130" s="9">
        <v>15000</v>
      </c>
      <c r="F130" s="9">
        <v>3000</v>
      </c>
      <c r="G130" s="13" t="s">
        <v>220</v>
      </c>
      <c r="H130" s="9">
        <v>5000</v>
      </c>
      <c r="I130" s="204">
        <f t="shared" si="11"/>
        <v>0.12121212121212122</v>
      </c>
      <c r="J130" s="204">
        <f t="shared" si="11"/>
        <v>0.18181818181818182</v>
      </c>
      <c r="K130" s="204">
        <f t="shared" si="11"/>
        <v>0.45454545454545453</v>
      </c>
      <c r="L130" s="204">
        <f t="shared" si="11"/>
        <v>9.0909090909090912E-2</v>
      </c>
      <c r="M130" s="204" t="e">
        <f t="shared" si="11"/>
        <v>#VALUE!</v>
      </c>
      <c r="N130" s="204">
        <f t="shared" si="11"/>
        <v>0.15151515151515152</v>
      </c>
    </row>
    <row r="131" spans="1:14">
      <c r="A131" s="117" t="s">
        <v>366</v>
      </c>
      <c r="B131" s="105">
        <v>99000</v>
      </c>
      <c r="C131" s="9">
        <v>2000</v>
      </c>
      <c r="D131" s="9">
        <v>39000</v>
      </c>
      <c r="E131" s="9">
        <v>22000</v>
      </c>
      <c r="F131" s="9">
        <v>27000</v>
      </c>
      <c r="G131" s="13" t="s">
        <v>220</v>
      </c>
      <c r="H131" s="9">
        <v>10000</v>
      </c>
      <c r="I131" s="204">
        <f t="shared" si="11"/>
        <v>2.0202020202020204E-2</v>
      </c>
      <c r="J131" s="204">
        <f t="shared" si="11"/>
        <v>0.39393939393939392</v>
      </c>
      <c r="K131" s="204">
        <f t="shared" si="11"/>
        <v>0.22222222222222221</v>
      </c>
      <c r="L131" s="204">
        <f t="shared" si="11"/>
        <v>0.27272727272727271</v>
      </c>
      <c r="M131" s="204" t="e">
        <f t="shared" si="11"/>
        <v>#VALUE!</v>
      </c>
      <c r="N131" s="204">
        <f t="shared" si="11"/>
        <v>0.10101010101010101</v>
      </c>
    </row>
    <row r="132" spans="1:14">
      <c r="A132" s="117" t="s">
        <v>367</v>
      </c>
      <c r="B132" s="105">
        <v>146000</v>
      </c>
      <c r="C132" s="9">
        <v>9000</v>
      </c>
      <c r="D132" s="9">
        <v>22000</v>
      </c>
      <c r="E132" s="9">
        <v>56000</v>
      </c>
      <c r="F132" s="9">
        <v>37000</v>
      </c>
      <c r="G132" s="13" t="s">
        <v>222</v>
      </c>
      <c r="H132" s="9">
        <v>21000</v>
      </c>
      <c r="I132" s="204">
        <f t="shared" si="11"/>
        <v>6.1643835616438353E-2</v>
      </c>
      <c r="J132" s="204">
        <f t="shared" si="11"/>
        <v>0.15068493150684931</v>
      </c>
      <c r="K132" s="204">
        <f t="shared" si="11"/>
        <v>0.38356164383561642</v>
      </c>
      <c r="L132" s="204">
        <f t="shared" si="11"/>
        <v>0.25342465753424659</v>
      </c>
      <c r="M132" s="204" t="e">
        <f t="shared" si="11"/>
        <v>#VALUE!</v>
      </c>
      <c r="N132" s="204">
        <f t="shared" si="11"/>
        <v>0.14383561643835616</v>
      </c>
    </row>
    <row r="133" spans="1:14">
      <c r="A133" s="117" t="s">
        <v>368</v>
      </c>
      <c r="B133" s="106">
        <v>13000</v>
      </c>
      <c r="C133" s="16" t="s">
        <v>220</v>
      </c>
      <c r="D133" s="16" t="s">
        <v>220</v>
      </c>
      <c r="E133" s="16" t="s">
        <v>220</v>
      </c>
      <c r="F133" s="16" t="s">
        <v>191</v>
      </c>
      <c r="G133" s="11">
        <v>11000</v>
      </c>
      <c r="H133" s="16" t="s">
        <v>220</v>
      </c>
      <c r="I133" s="204" t="e">
        <f t="shared" si="11"/>
        <v>#VALUE!</v>
      </c>
      <c r="J133" s="204" t="e">
        <f t="shared" si="11"/>
        <v>#VALUE!</v>
      </c>
      <c r="K133" s="204" t="e">
        <f t="shared" si="11"/>
        <v>#VALUE!</v>
      </c>
      <c r="L133" s="204" t="e">
        <f t="shared" si="11"/>
        <v>#VALUE!</v>
      </c>
      <c r="M133" s="204">
        <f t="shared" si="11"/>
        <v>0.84615384615384615</v>
      </c>
      <c r="N133" s="204" t="e">
        <f t="shared" si="11"/>
        <v>#VALUE!</v>
      </c>
    </row>
    <row r="134" spans="1:14">
      <c r="A134" s="115" t="s">
        <v>175</v>
      </c>
      <c r="B134" s="105">
        <v>2578000</v>
      </c>
      <c r="C134" s="9">
        <v>100000</v>
      </c>
      <c r="D134" s="9">
        <v>76000</v>
      </c>
      <c r="E134" s="9">
        <v>561000</v>
      </c>
      <c r="F134" s="9">
        <v>142000</v>
      </c>
      <c r="G134" s="9">
        <v>573000</v>
      </c>
      <c r="H134" s="9">
        <v>1126000</v>
      </c>
      <c r="I134" s="204">
        <f t="shared" si="11"/>
        <v>3.8789759503491075E-2</v>
      </c>
      <c r="J134" s="204">
        <f t="shared" si="11"/>
        <v>2.9480217222653218E-2</v>
      </c>
      <c r="K134" s="204">
        <f t="shared" si="11"/>
        <v>0.21761055081458494</v>
      </c>
      <c r="L134" s="204">
        <f t="shared" si="11"/>
        <v>5.5081458494957332E-2</v>
      </c>
      <c r="M134" s="204">
        <f t="shared" si="11"/>
        <v>0.22226532195500387</v>
      </c>
      <c r="N134" s="204">
        <f t="shared" si="11"/>
        <v>0.43677269200930952</v>
      </c>
    </row>
    <row r="135" spans="1:14">
      <c r="A135" s="116" t="s">
        <v>369</v>
      </c>
      <c r="B135" s="105">
        <v>1313000</v>
      </c>
      <c r="C135" s="9">
        <v>3000</v>
      </c>
      <c r="D135" s="9">
        <v>3000</v>
      </c>
      <c r="E135" s="9">
        <v>151000</v>
      </c>
      <c r="F135" s="9">
        <v>55000</v>
      </c>
      <c r="G135" s="9">
        <v>80000</v>
      </c>
      <c r="H135" s="9">
        <v>1021000</v>
      </c>
      <c r="I135" s="204">
        <f t="shared" si="11"/>
        <v>2.284843869002285E-3</v>
      </c>
      <c r="J135" s="204">
        <f t="shared" si="11"/>
        <v>2.284843869002285E-3</v>
      </c>
      <c r="K135" s="204">
        <f t="shared" si="11"/>
        <v>0.115003808073115</v>
      </c>
      <c r="L135" s="204">
        <f t="shared" si="11"/>
        <v>4.1888804265041886E-2</v>
      </c>
      <c r="M135" s="204">
        <f t="shared" si="11"/>
        <v>6.0929169840060929E-2</v>
      </c>
      <c r="N135" s="204">
        <f t="shared" si="11"/>
        <v>0.77760853008377762</v>
      </c>
    </row>
    <row r="136" spans="1:14">
      <c r="A136" s="116" t="s">
        <v>370</v>
      </c>
      <c r="B136" s="105">
        <v>417000</v>
      </c>
      <c r="C136" s="9">
        <v>25000</v>
      </c>
      <c r="D136" s="9">
        <v>13000</v>
      </c>
      <c r="E136" s="9">
        <v>327000</v>
      </c>
      <c r="F136" s="9">
        <v>12000</v>
      </c>
      <c r="G136" s="13" t="s">
        <v>191</v>
      </c>
      <c r="H136" s="9">
        <v>39000</v>
      </c>
      <c r="I136" s="204">
        <f t="shared" si="11"/>
        <v>5.9952038369304558E-2</v>
      </c>
      <c r="J136" s="204">
        <f t="shared" si="11"/>
        <v>3.117505995203837E-2</v>
      </c>
      <c r="K136" s="204">
        <f t="shared" si="11"/>
        <v>0.78417266187050361</v>
      </c>
      <c r="L136" s="204">
        <f t="shared" si="11"/>
        <v>2.8776978417266189E-2</v>
      </c>
      <c r="M136" s="204" t="e">
        <f t="shared" si="11"/>
        <v>#VALUE!</v>
      </c>
      <c r="N136" s="204">
        <f t="shared" si="11"/>
        <v>9.3525179856115109E-2</v>
      </c>
    </row>
    <row r="137" spans="1:14">
      <c r="A137" s="116" t="s">
        <v>371</v>
      </c>
      <c r="B137" s="105">
        <v>504000</v>
      </c>
      <c r="C137" s="13" t="s">
        <v>220</v>
      </c>
      <c r="D137" s="13" t="s">
        <v>220</v>
      </c>
      <c r="E137" s="9">
        <v>9000</v>
      </c>
      <c r="F137" s="9">
        <v>3000</v>
      </c>
      <c r="G137" s="9">
        <v>490000</v>
      </c>
      <c r="H137" s="13" t="s">
        <v>191</v>
      </c>
      <c r="I137" s="204" t="e">
        <f t="shared" si="11"/>
        <v>#VALUE!</v>
      </c>
      <c r="J137" s="204" t="e">
        <f t="shared" si="11"/>
        <v>#VALUE!</v>
      </c>
      <c r="K137" s="204">
        <f t="shared" si="11"/>
        <v>1.7857142857142856E-2</v>
      </c>
      <c r="L137" s="204">
        <f t="shared" si="11"/>
        <v>5.9523809523809521E-3</v>
      </c>
      <c r="M137" s="204">
        <f t="shared" si="11"/>
        <v>0.97222222222222221</v>
      </c>
      <c r="N137" s="204" t="e">
        <f t="shared" si="11"/>
        <v>#VALUE!</v>
      </c>
    </row>
    <row r="138" spans="1:14">
      <c r="A138" s="116" t="s">
        <v>372</v>
      </c>
      <c r="B138" s="106">
        <v>257000</v>
      </c>
      <c r="C138" s="11">
        <v>70000</v>
      </c>
      <c r="D138" s="11">
        <v>25000</v>
      </c>
      <c r="E138" s="11">
        <v>59000</v>
      </c>
      <c r="F138" s="11">
        <v>60000</v>
      </c>
      <c r="G138" s="11">
        <v>1000</v>
      </c>
      <c r="H138" s="11">
        <v>42000</v>
      </c>
      <c r="I138" s="204">
        <f t="shared" si="11"/>
        <v>0.2723735408560311</v>
      </c>
      <c r="J138" s="204">
        <f t="shared" si="11"/>
        <v>9.727626459143969E-2</v>
      </c>
      <c r="K138" s="204">
        <f t="shared" si="11"/>
        <v>0.22957198443579765</v>
      </c>
      <c r="L138" s="204">
        <f t="shared" si="11"/>
        <v>0.23346303501945526</v>
      </c>
      <c r="M138" s="204">
        <f t="shared" si="11"/>
        <v>3.8910505836575876E-3</v>
      </c>
      <c r="N138" s="204">
        <f t="shared" si="11"/>
        <v>0.16342412451361868</v>
      </c>
    </row>
    <row r="139" spans="1:14">
      <c r="A139" s="118" t="s">
        <v>373</v>
      </c>
      <c r="B139" s="105">
        <v>88000</v>
      </c>
      <c r="C139" s="9">
        <v>2000</v>
      </c>
      <c r="D139" s="9">
        <v>35000</v>
      </c>
      <c r="E139" s="9">
        <v>15000</v>
      </c>
      <c r="F139" s="9">
        <v>12000</v>
      </c>
      <c r="G139" s="13" t="s">
        <v>220</v>
      </c>
      <c r="H139" s="9">
        <v>23000</v>
      </c>
      <c r="I139" s="204">
        <f t="shared" si="11"/>
        <v>2.2727272727272728E-2</v>
      </c>
      <c r="J139" s="204">
        <f t="shared" si="11"/>
        <v>0.39772727272727271</v>
      </c>
      <c r="K139" s="204">
        <f t="shared" si="11"/>
        <v>0.17045454545454544</v>
      </c>
      <c r="L139" s="204">
        <f t="shared" si="11"/>
        <v>0.13636363636363635</v>
      </c>
      <c r="M139" s="204" t="e">
        <f t="shared" si="11"/>
        <v>#VALUE!</v>
      </c>
      <c r="N139" s="204">
        <f t="shared" si="11"/>
        <v>0.26136363636363635</v>
      </c>
    </row>
    <row r="140" spans="1:14">
      <c r="A140" s="115" t="s">
        <v>176</v>
      </c>
      <c r="B140" s="105">
        <v>9699000</v>
      </c>
      <c r="C140" s="9">
        <v>81000</v>
      </c>
      <c r="D140" s="9">
        <v>154000</v>
      </c>
      <c r="E140" s="9">
        <v>4791000</v>
      </c>
      <c r="F140" s="9">
        <v>414000</v>
      </c>
      <c r="G140" s="9">
        <v>2323000</v>
      </c>
      <c r="H140" s="9">
        <v>1935000</v>
      </c>
      <c r="I140" s="204">
        <f t="shared" si="11"/>
        <v>8.3513764305598523E-3</v>
      </c>
      <c r="J140" s="204">
        <f t="shared" si="11"/>
        <v>1.5877925559336013E-2</v>
      </c>
      <c r="K140" s="204">
        <f t="shared" si="11"/>
        <v>0.4939684503557068</v>
      </c>
      <c r="L140" s="204">
        <f t="shared" si="11"/>
        <v>4.268481286730591E-2</v>
      </c>
      <c r="M140" s="204">
        <f t="shared" si="11"/>
        <v>0.2395092277554387</v>
      </c>
      <c r="N140" s="204">
        <f t="shared" si="11"/>
        <v>0.19950510361892979</v>
      </c>
    </row>
    <row r="141" spans="1:14">
      <c r="A141" s="116" t="s">
        <v>374</v>
      </c>
      <c r="B141" s="105">
        <v>1668000</v>
      </c>
      <c r="C141" s="9">
        <v>19000</v>
      </c>
      <c r="D141" s="9">
        <v>23000</v>
      </c>
      <c r="E141" s="9">
        <v>1413000</v>
      </c>
      <c r="F141" s="9">
        <v>58000</v>
      </c>
      <c r="G141" s="9">
        <v>20000</v>
      </c>
      <c r="H141" s="9">
        <v>135000</v>
      </c>
      <c r="I141" s="204">
        <f t="shared" si="11"/>
        <v>1.1390887290167866E-2</v>
      </c>
      <c r="J141" s="204">
        <f t="shared" si="11"/>
        <v>1.3788968824940047E-2</v>
      </c>
      <c r="K141" s="204">
        <f t="shared" si="11"/>
        <v>0.84712230215827333</v>
      </c>
      <c r="L141" s="204">
        <f t="shared" si="11"/>
        <v>3.4772182254196642E-2</v>
      </c>
      <c r="M141" s="204">
        <f t="shared" si="11"/>
        <v>1.1990407673860911E-2</v>
      </c>
      <c r="N141" s="204">
        <f t="shared" si="11"/>
        <v>8.0935251798561147E-2</v>
      </c>
    </row>
    <row r="142" spans="1:14">
      <c r="A142" s="116" t="s">
        <v>406</v>
      </c>
      <c r="B142" s="106">
        <v>2370000</v>
      </c>
      <c r="C142" s="11">
        <v>38000</v>
      </c>
      <c r="D142" s="11">
        <v>53000</v>
      </c>
      <c r="E142" s="11">
        <v>1840000</v>
      </c>
      <c r="F142" s="11">
        <v>120000</v>
      </c>
      <c r="G142" s="11">
        <v>15000</v>
      </c>
      <c r="H142" s="11">
        <v>304000</v>
      </c>
      <c r="I142" s="204">
        <f t="shared" si="11"/>
        <v>1.6033755274261603E-2</v>
      </c>
      <c r="J142" s="204">
        <f t="shared" si="11"/>
        <v>2.2362869198312235E-2</v>
      </c>
      <c r="K142" s="204">
        <f t="shared" si="11"/>
        <v>0.77637130801687759</v>
      </c>
      <c r="L142" s="204">
        <f t="shared" si="11"/>
        <v>5.0632911392405063E-2</v>
      </c>
      <c r="M142" s="204">
        <f t="shared" si="11"/>
        <v>6.3291139240506328E-3</v>
      </c>
      <c r="N142" s="204">
        <f t="shared" si="11"/>
        <v>0.12827004219409283</v>
      </c>
    </row>
    <row r="143" spans="1:14">
      <c r="A143" s="116" t="s">
        <v>376</v>
      </c>
      <c r="B143" s="105">
        <v>1923000</v>
      </c>
      <c r="C143" s="13" t="s">
        <v>220</v>
      </c>
      <c r="D143" s="13" t="s">
        <v>220</v>
      </c>
      <c r="E143" s="9">
        <v>59000</v>
      </c>
      <c r="F143" s="9">
        <v>21000</v>
      </c>
      <c r="G143" s="9">
        <v>1811000</v>
      </c>
      <c r="H143" s="9">
        <v>32000</v>
      </c>
      <c r="I143" s="204" t="e">
        <f t="shared" si="11"/>
        <v>#VALUE!</v>
      </c>
      <c r="J143" s="204" t="e">
        <f t="shared" si="11"/>
        <v>#VALUE!</v>
      </c>
      <c r="K143" s="204">
        <f t="shared" si="11"/>
        <v>3.0681227249089962E-2</v>
      </c>
      <c r="L143" s="204">
        <f t="shared" si="11"/>
        <v>1.0920436817472699E-2</v>
      </c>
      <c r="M143" s="204">
        <f t="shared" si="11"/>
        <v>0.94175767030681223</v>
      </c>
      <c r="N143" s="204">
        <f t="shared" si="11"/>
        <v>1.6640665626625067E-2</v>
      </c>
    </row>
    <row r="144" spans="1:14">
      <c r="A144" s="116" t="s">
        <v>377</v>
      </c>
      <c r="B144" s="106">
        <v>231000</v>
      </c>
      <c r="C144" s="16" t="s">
        <v>220</v>
      </c>
      <c r="D144" s="16" t="s">
        <v>220</v>
      </c>
      <c r="E144" s="11">
        <v>14000</v>
      </c>
      <c r="F144" s="11">
        <v>6000</v>
      </c>
      <c r="G144" s="11">
        <v>187000</v>
      </c>
      <c r="H144" s="11">
        <v>23000</v>
      </c>
      <c r="I144" s="204" t="e">
        <f t="shared" si="11"/>
        <v>#VALUE!</v>
      </c>
      <c r="J144" s="204" t="e">
        <f t="shared" si="11"/>
        <v>#VALUE!</v>
      </c>
      <c r="K144" s="204">
        <f t="shared" si="11"/>
        <v>6.0606060606060608E-2</v>
      </c>
      <c r="L144" s="204">
        <f t="shared" si="11"/>
        <v>2.5974025974025976E-2</v>
      </c>
      <c r="M144" s="204">
        <f t="shared" si="11"/>
        <v>0.80952380952380953</v>
      </c>
      <c r="N144" s="204">
        <f t="shared" si="11"/>
        <v>9.9567099567099568E-2</v>
      </c>
    </row>
    <row r="145" spans="1:14">
      <c r="A145" s="116" t="s">
        <v>378</v>
      </c>
      <c r="B145" s="142">
        <v>1094000</v>
      </c>
      <c r="C145" s="32" t="s">
        <v>220</v>
      </c>
      <c r="D145" s="32" t="s">
        <v>191</v>
      </c>
      <c r="E145" s="29">
        <v>152000</v>
      </c>
      <c r="F145" s="29">
        <v>23000</v>
      </c>
      <c r="G145" s="29">
        <v>108000</v>
      </c>
      <c r="H145" s="29">
        <v>807000</v>
      </c>
      <c r="I145" s="204" t="e">
        <f>C145/$B145</f>
        <v>#VALUE!</v>
      </c>
      <c r="J145" s="204" t="e">
        <f t="shared" ref="J145:N160" si="12">D145/$B145</f>
        <v>#VALUE!</v>
      </c>
      <c r="K145" s="204">
        <f t="shared" si="12"/>
        <v>0.13893967093235832</v>
      </c>
      <c r="L145" s="204">
        <f t="shared" si="12"/>
        <v>2.1023765996343691E-2</v>
      </c>
      <c r="M145" s="204">
        <f t="shared" si="12"/>
        <v>9.8720292504570387E-2</v>
      </c>
      <c r="N145" s="204">
        <f t="shared" si="12"/>
        <v>0.73765996343692875</v>
      </c>
    </row>
    <row r="146" spans="1:14">
      <c r="A146" s="116" t="s">
        <v>379</v>
      </c>
      <c r="B146" s="106">
        <v>714000</v>
      </c>
      <c r="C146" s="16" t="s">
        <v>191</v>
      </c>
      <c r="D146" s="11">
        <v>12000</v>
      </c>
      <c r="E146" s="11">
        <v>605000</v>
      </c>
      <c r="F146" s="11">
        <v>21000</v>
      </c>
      <c r="G146" s="16" t="s">
        <v>220</v>
      </c>
      <c r="H146" s="11">
        <v>61000</v>
      </c>
      <c r="I146" s="204" t="e">
        <f t="shared" ref="I146:I147" si="13">C146/$B146</f>
        <v>#VALUE!</v>
      </c>
      <c r="J146" s="204">
        <f t="shared" si="12"/>
        <v>1.680672268907563E-2</v>
      </c>
      <c r="K146" s="204">
        <f t="shared" si="12"/>
        <v>0.84733893557422968</v>
      </c>
      <c r="L146" s="204">
        <f t="shared" si="12"/>
        <v>2.9411764705882353E-2</v>
      </c>
      <c r="M146" s="204" t="e">
        <f t="shared" si="12"/>
        <v>#VALUE!</v>
      </c>
      <c r="N146" s="204">
        <f t="shared" si="12"/>
        <v>8.5434173669467789E-2</v>
      </c>
    </row>
    <row r="147" spans="1:14">
      <c r="A147" s="116" t="s">
        <v>380</v>
      </c>
      <c r="B147" s="106">
        <v>348000</v>
      </c>
      <c r="C147" s="16" t="s">
        <v>220</v>
      </c>
      <c r="D147" s="11">
        <v>46000</v>
      </c>
      <c r="E147" s="11">
        <v>76000</v>
      </c>
      <c r="F147" s="11">
        <v>62000</v>
      </c>
      <c r="G147" s="16" t="s">
        <v>191</v>
      </c>
      <c r="H147" s="11">
        <v>140000</v>
      </c>
      <c r="I147" s="204" t="e">
        <f t="shared" si="13"/>
        <v>#VALUE!</v>
      </c>
      <c r="J147" s="204">
        <f t="shared" si="12"/>
        <v>0.13218390804597702</v>
      </c>
      <c r="K147" s="204">
        <f t="shared" si="12"/>
        <v>0.21839080459770116</v>
      </c>
      <c r="L147" s="204">
        <f t="shared" si="12"/>
        <v>0.17816091954022989</v>
      </c>
      <c r="M147" s="204" t="e">
        <f t="shared" si="12"/>
        <v>#VALUE!</v>
      </c>
      <c r="N147" s="204">
        <f t="shared" si="12"/>
        <v>0.40229885057471265</v>
      </c>
    </row>
    <row r="148" spans="1:14">
      <c r="A148" s="116" t="s">
        <v>381</v>
      </c>
      <c r="B148" s="105">
        <v>1351000</v>
      </c>
      <c r="C148" s="9">
        <v>13000</v>
      </c>
      <c r="D148" s="9">
        <v>18000</v>
      </c>
      <c r="E148" s="9">
        <v>632000</v>
      </c>
      <c r="F148" s="9">
        <v>103000</v>
      </c>
      <c r="G148" s="9">
        <v>151000</v>
      </c>
      <c r="H148" s="9">
        <v>434000</v>
      </c>
      <c r="I148" s="204">
        <f>C148/$B148</f>
        <v>9.6225018504811251E-3</v>
      </c>
      <c r="J148" s="204">
        <f t="shared" si="12"/>
        <v>1.3323464100666173E-2</v>
      </c>
      <c r="K148" s="204">
        <f t="shared" si="12"/>
        <v>0.46780162842339007</v>
      </c>
      <c r="L148" s="204">
        <f t="shared" si="12"/>
        <v>7.6239822353811992E-2</v>
      </c>
      <c r="M148" s="204">
        <f t="shared" si="12"/>
        <v>0.11176905995558846</v>
      </c>
      <c r="N148" s="204">
        <f t="shared" si="12"/>
        <v>0.32124352331606215</v>
      </c>
    </row>
    <row r="149" spans="1:14">
      <c r="A149" s="135" t="s">
        <v>221</v>
      </c>
      <c r="B149" s="136">
        <v>2141000</v>
      </c>
      <c r="C149" s="137">
        <v>80000</v>
      </c>
      <c r="D149" s="137">
        <v>40000</v>
      </c>
      <c r="E149" s="137">
        <v>408000</v>
      </c>
      <c r="F149" s="137">
        <v>681000</v>
      </c>
      <c r="G149" s="137">
        <v>515000</v>
      </c>
      <c r="H149" s="137">
        <v>416000</v>
      </c>
      <c r="I149" s="204">
        <f t="shared" ref="I149:N177" si="14">C149/$B149</f>
        <v>3.7365716954694067E-2</v>
      </c>
      <c r="J149" s="204">
        <f t="shared" si="12"/>
        <v>1.8682858477347034E-2</v>
      </c>
      <c r="K149" s="204">
        <f t="shared" si="12"/>
        <v>0.19056515646893976</v>
      </c>
      <c r="L149" s="204">
        <f t="shared" si="12"/>
        <v>0.31807566557683326</v>
      </c>
      <c r="M149" s="204">
        <f t="shared" si="12"/>
        <v>0.24054180289584307</v>
      </c>
      <c r="N149" s="204">
        <f t="shared" si="12"/>
        <v>0.19430172816440916</v>
      </c>
    </row>
    <row r="150" spans="1:14">
      <c r="A150" s="138" t="s">
        <v>174</v>
      </c>
      <c r="B150" s="105">
        <v>962000</v>
      </c>
      <c r="C150" s="9">
        <v>59000</v>
      </c>
      <c r="D150" s="9">
        <v>25000</v>
      </c>
      <c r="E150" s="9">
        <v>94000</v>
      </c>
      <c r="F150" s="9">
        <v>483000</v>
      </c>
      <c r="G150" s="9">
        <v>198000</v>
      </c>
      <c r="H150" s="9">
        <v>104000</v>
      </c>
      <c r="I150" s="204">
        <f t="shared" si="14"/>
        <v>6.1330561330561334E-2</v>
      </c>
      <c r="J150" s="204">
        <f t="shared" si="12"/>
        <v>2.5987525987525989E-2</v>
      </c>
      <c r="K150" s="204">
        <f t="shared" si="12"/>
        <v>9.7713097713097719E-2</v>
      </c>
      <c r="L150" s="204">
        <f t="shared" si="12"/>
        <v>0.50207900207900202</v>
      </c>
      <c r="M150" s="204">
        <f t="shared" si="12"/>
        <v>0.20582120582120583</v>
      </c>
      <c r="N150" s="204">
        <f t="shared" si="12"/>
        <v>0.10810810810810811</v>
      </c>
    </row>
    <row r="151" spans="1:14" ht="24">
      <c r="A151" s="139" t="s">
        <v>227</v>
      </c>
      <c r="B151" s="106">
        <v>291000</v>
      </c>
      <c r="C151" s="11">
        <v>2000</v>
      </c>
      <c r="D151" s="11">
        <v>2000</v>
      </c>
      <c r="E151" s="11">
        <v>28000</v>
      </c>
      <c r="F151" s="11">
        <v>210000</v>
      </c>
      <c r="G151" s="11">
        <v>35000</v>
      </c>
      <c r="H151" s="11">
        <v>14000</v>
      </c>
      <c r="I151" s="204">
        <f t="shared" si="14"/>
        <v>6.8728522336769758E-3</v>
      </c>
      <c r="J151" s="204">
        <f t="shared" si="12"/>
        <v>6.8728522336769758E-3</v>
      </c>
      <c r="K151" s="204">
        <f t="shared" si="12"/>
        <v>9.6219931271477668E-2</v>
      </c>
      <c r="L151" s="204">
        <f t="shared" si="12"/>
        <v>0.72164948453608246</v>
      </c>
      <c r="M151" s="204">
        <f t="shared" si="12"/>
        <v>0.12027491408934708</v>
      </c>
      <c r="N151" s="204">
        <f t="shared" si="12"/>
        <v>4.8109965635738834E-2</v>
      </c>
    </row>
    <row r="152" spans="1:14">
      <c r="A152" s="140" t="s">
        <v>343</v>
      </c>
      <c r="B152" s="106">
        <v>17000</v>
      </c>
      <c r="C152" s="16" t="s">
        <v>220</v>
      </c>
      <c r="D152" s="16" t="s">
        <v>220</v>
      </c>
      <c r="E152" s="11">
        <v>2000</v>
      </c>
      <c r="F152" s="11">
        <v>14000</v>
      </c>
      <c r="G152" s="16" t="s">
        <v>220</v>
      </c>
      <c r="H152" s="16" t="s">
        <v>191</v>
      </c>
      <c r="I152" s="204" t="e">
        <f t="shared" si="14"/>
        <v>#VALUE!</v>
      </c>
      <c r="J152" s="204" t="e">
        <f t="shared" si="12"/>
        <v>#VALUE!</v>
      </c>
      <c r="K152" s="204">
        <f t="shared" si="12"/>
        <v>0.11764705882352941</v>
      </c>
      <c r="L152" s="204">
        <f t="shared" si="12"/>
        <v>0.82352941176470584</v>
      </c>
      <c r="M152" s="204" t="e">
        <f t="shared" si="12"/>
        <v>#VALUE!</v>
      </c>
      <c r="N152" s="204" t="e">
        <f t="shared" si="12"/>
        <v>#VALUE!</v>
      </c>
    </row>
    <row r="153" spans="1:14">
      <c r="A153" s="140" t="s">
        <v>344</v>
      </c>
      <c r="B153" s="106">
        <v>206000</v>
      </c>
      <c r="C153" s="11">
        <v>2000</v>
      </c>
      <c r="D153" s="11">
        <v>1000</v>
      </c>
      <c r="E153" s="11">
        <v>20000</v>
      </c>
      <c r="F153" s="11">
        <v>170000</v>
      </c>
      <c r="G153" s="11">
        <v>1000</v>
      </c>
      <c r="H153" s="11">
        <v>12000</v>
      </c>
      <c r="I153" s="204">
        <f t="shared" si="14"/>
        <v>9.7087378640776691E-3</v>
      </c>
      <c r="J153" s="204">
        <f t="shared" si="12"/>
        <v>4.8543689320388345E-3</v>
      </c>
      <c r="K153" s="204">
        <f t="shared" si="12"/>
        <v>9.7087378640776698E-2</v>
      </c>
      <c r="L153" s="204">
        <f t="shared" si="12"/>
        <v>0.82524271844660191</v>
      </c>
      <c r="M153" s="204">
        <f t="shared" si="12"/>
        <v>4.8543689320388345E-3</v>
      </c>
      <c r="N153" s="204">
        <f t="shared" si="12"/>
        <v>5.8252427184466021E-2</v>
      </c>
    </row>
    <row r="154" spans="1:14">
      <c r="A154" s="150" t="s">
        <v>345</v>
      </c>
      <c r="B154" s="162" t="s">
        <v>191</v>
      </c>
      <c r="C154" s="13" t="s">
        <v>220</v>
      </c>
      <c r="D154" s="13" t="s">
        <v>220</v>
      </c>
      <c r="E154" s="13" t="s">
        <v>220</v>
      </c>
      <c r="F154" s="13" t="s">
        <v>191</v>
      </c>
      <c r="G154" s="13" t="s">
        <v>220</v>
      </c>
      <c r="H154" s="13" t="s">
        <v>220</v>
      </c>
      <c r="I154" s="204" t="e">
        <f t="shared" si="14"/>
        <v>#VALUE!</v>
      </c>
      <c r="J154" s="204" t="e">
        <f t="shared" si="12"/>
        <v>#VALUE!</v>
      </c>
      <c r="K154" s="204" t="e">
        <f t="shared" si="12"/>
        <v>#VALUE!</v>
      </c>
      <c r="L154" s="204" t="e">
        <f t="shared" si="12"/>
        <v>#VALUE!</v>
      </c>
      <c r="M154" s="204" t="e">
        <f t="shared" si="12"/>
        <v>#VALUE!</v>
      </c>
      <c r="N154" s="204" t="e">
        <f t="shared" si="12"/>
        <v>#VALUE!</v>
      </c>
    </row>
    <row r="155" spans="1:14" ht="24">
      <c r="A155" s="140" t="s">
        <v>346</v>
      </c>
      <c r="B155" s="106">
        <v>65000</v>
      </c>
      <c r="C155" s="16" t="s">
        <v>220</v>
      </c>
      <c r="D155" s="16" t="s">
        <v>220</v>
      </c>
      <c r="E155" s="11">
        <v>6000</v>
      </c>
      <c r="F155" s="11">
        <v>25000</v>
      </c>
      <c r="G155" s="11">
        <v>34000</v>
      </c>
      <c r="H155" s="16" t="s">
        <v>220</v>
      </c>
      <c r="I155" s="204" t="e">
        <f t="shared" si="14"/>
        <v>#VALUE!</v>
      </c>
      <c r="J155" s="204" t="e">
        <f t="shared" si="12"/>
        <v>#VALUE!</v>
      </c>
      <c r="K155" s="204">
        <f t="shared" si="12"/>
        <v>9.2307692307692313E-2</v>
      </c>
      <c r="L155" s="204">
        <f t="shared" si="12"/>
        <v>0.38461538461538464</v>
      </c>
      <c r="M155" s="204">
        <f t="shared" si="12"/>
        <v>0.52307692307692311</v>
      </c>
      <c r="N155" s="204" t="e">
        <f t="shared" si="12"/>
        <v>#VALUE!</v>
      </c>
    </row>
    <row r="156" spans="1:14">
      <c r="A156" s="139" t="s">
        <v>228</v>
      </c>
      <c r="B156" s="106">
        <v>185000</v>
      </c>
      <c r="C156" s="11">
        <v>46000</v>
      </c>
      <c r="D156" s="11">
        <v>8000</v>
      </c>
      <c r="E156" s="11">
        <v>21000</v>
      </c>
      <c r="F156" s="11">
        <v>67000</v>
      </c>
      <c r="G156" s="11">
        <v>36000</v>
      </c>
      <c r="H156" s="11">
        <v>7000</v>
      </c>
      <c r="I156" s="204">
        <f t="shared" si="14"/>
        <v>0.24864864864864866</v>
      </c>
      <c r="J156" s="204">
        <f t="shared" si="12"/>
        <v>4.3243243243243246E-2</v>
      </c>
      <c r="K156" s="204">
        <f t="shared" si="12"/>
        <v>0.11351351351351352</v>
      </c>
      <c r="L156" s="204">
        <f t="shared" si="12"/>
        <v>0.36216216216216218</v>
      </c>
      <c r="M156" s="204">
        <f t="shared" si="12"/>
        <v>0.19459459459459461</v>
      </c>
      <c r="N156" s="204">
        <f t="shared" si="12"/>
        <v>3.783783783783784E-2</v>
      </c>
    </row>
    <row r="157" spans="1:14">
      <c r="A157" s="140" t="s">
        <v>347</v>
      </c>
      <c r="B157" s="106">
        <v>96000</v>
      </c>
      <c r="C157" s="11">
        <v>41000</v>
      </c>
      <c r="D157" s="11">
        <v>6000</v>
      </c>
      <c r="E157" s="11">
        <v>15000</v>
      </c>
      <c r="F157" s="11">
        <v>31000</v>
      </c>
      <c r="G157" s="16" t="s">
        <v>220</v>
      </c>
      <c r="H157" s="11">
        <v>3000</v>
      </c>
      <c r="I157" s="204">
        <f t="shared" si="14"/>
        <v>0.42708333333333331</v>
      </c>
      <c r="J157" s="204">
        <f t="shared" si="12"/>
        <v>6.25E-2</v>
      </c>
      <c r="K157" s="204">
        <f t="shared" si="12"/>
        <v>0.15625</v>
      </c>
      <c r="L157" s="204">
        <f t="shared" si="12"/>
        <v>0.32291666666666669</v>
      </c>
      <c r="M157" s="204" t="e">
        <f t="shared" si="12"/>
        <v>#VALUE!</v>
      </c>
      <c r="N157" s="204">
        <f t="shared" si="12"/>
        <v>3.125E-2</v>
      </c>
    </row>
    <row r="158" spans="1:14">
      <c r="A158" s="140" t="s">
        <v>348</v>
      </c>
      <c r="B158" s="105">
        <v>35000</v>
      </c>
      <c r="C158" s="9">
        <v>4000</v>
      </c>
      <c r="D158" s="9">
        <v>3000</v>
      </c>
      <c r="E158" s="9">
        <v>2000</v>
      </c>
      <c r="F158" s="9">
        <v>22000</v>
      </c>
      <c r="G158" s="13" t="s">
        <v>220</v>
      </c>
      <c r="H158" s="9">
        <v>3000</v>
      </c>
      <c r="I158" s="204">
        <f t="shared" si="14"/>
        <v>0.11428571428571428</v>
      </c>
      <c r="J158" s="204">
        <f t="shared" si="12"/>
        <v>8.5714285714285715E-2</v>
      </c>
      <c r="K158" s="204">
        <f t="shared" si="12"/>
        <v>5.7142857142857141E-2</v>
      </c>
      <c r="L158" s="204">
        <f t="shared" si="12"/>
        <v>0.62857142857142856</v>
      </c>
      <c r="M158" s="204" t="e">
        <f t="shared" si="12"/>
        <v>#VALUE!</v>
      </c>
      <c r="N158" s="204">
        <f t="shared" si="12"/>
        <v>8.5714285714285715E-2</v>
      </c>
    </row>
    <row r="159" spans="1:14" ht="24">
      <c r="A159" s="140" t="s">
        <v>349</v>
      </c>
      <c r="B159" s="106">
        <v>53000</v>
      </c>
      <c r="C159" s="16" t="s">
        <v>220</v>
      </c>
      <c r="D159" s="16" t="s">
        <v>220</v>
      </c>
      <c r="E159" s="11">
        <v>4000</v>
      </c>
      <c r="F159" s="11">
        <v>14000</v>
      </c>
      <c r="G159" s="11">
        <v>35000</v>
      </c>
      <c r="H159" s="16" t="s">
        <v>220</v>
      </c>
      <c r="I159" s="204" t="e">
        <f t="shared" si="14"/>
        <v>#VALUE!</v>
      </c>
      <c r="J159" s="204" t="e">
        <f t="shared" si="12"/>
        <v>#VALUE!</v>
      </c>
      <c r="K159" s="204">
        <f t="shared" si="12"/>
        <v>7.5471698113207544E-2</v>
      </c>
      <c r="L159" s="204">
        <f t="shared" si="12"/>
        <v>0.26415094339622641</v>
      </c>
      <c r="M159" s="204">
        <f t="shared" si="12"/>
        <v>0.660377358490566</v>
      </c>
      <c r="N159" s="204" t="e">
        <f t="shared" si="12"/>
        <v>#VALUE!</v>
      </c>
    </row>
    <row r="160" spans="1:14">
      <c r="A160" s="150" t="s">
        <v>229</v>
      </c>
      <c r="B160" s="105">
        <v>125000</v>
      </c>
      <c r="C160" s="9">
        <v>3000</v>
      </c>
      <c r="D160" s="13" t="s">
        <v>191</v>
      </c>
      <c r="E160" s="9">
        <v>11000</v>
      </c>
      <c r="F160" s="9">
        <v>70000</v>
      </c>
      <c r="G160" s="9">
        <v>34000</v>
      </c>
      <c r="H160" s="9">
        <v>5000</v>
      </c>
      <c r="I160" s="204">
        <f t="shared" si="14"/>
        <v>2.4E-2</v>
      </c>
      <c r="J160" s="204" t="e">
        <f t="shared" si="12"/>
        <v>#VALUE!</v>
      </c>
      <c r="K160" s="204">
        <f t="shared" si="12"/>
        <v>8.7999999999999995E-2</v>
      </c>
      <c r="L160" s="204">
        <f t="shared" si="12"/>
        <v>0.56000000000000005</v>
      </c>
      <c r="M160" s="204">
        <f t="shared" si="12"/>
        <v>0.27200000000000002</v>
      </c>
      <c r="N160" s="204">
        <f t="shared" si="12"/>
        <v>0.04</v>
      </c>
    </row>
    <row r="161" spans="1:14">
      <c r="A161" s="140" t="s">
        <v>350</v>
      </c>
      <c r="B161" s="106">
        <v>30000</v>
      </c>
      <c r="C161" s="16" t="s">
        <v>220</v>
      </c>
      <c r="D161" s="16" t="s">
        <v>220</v>
      </c>
      <c r="E161" s="11">
        <v>3000</v>
      </c>
      <c r="F161" s="11">
        <v>24000</v>
      </c>
      <c r="G161" s="16" t="s">
        <v>220</v>
      </c>
      <c r="H161" s="11">
        <v>2000</v>
      </c>
      <c r="I161" s="204" t="e">
        <f t="shared" si="14"/>
        <v>#VALUE!</v>
      </c>
      <c r="J161" s="204" t="e">
        <f t="shared" si="14"/>
        <v>#VALUE!</v>
      </c>
      <c r="K161" s="204">
        <f t="shared" si="14"/>
        <v>0.1</v>
      </c>
      <c r="L161" s="204">
        <f t="shared" si="14"/>
        <v>0.8</v>
      </c>
      <c r="M161" s="204" t="e">
        <f t="shared" si="14"/>
        <v>#VALUE!</v>
      </c>
      <c r="N161" s="204">
        <f t="shared" si="14"/>
        <v>6.6666666666666666E-2</v>
      </c>
    </row>
    <row r="162" spans="1:14">
      <c r="A162" s="140" t="s">
        <v>351</v>
      </c>
      <c r="B162" s="106">
        <v>17000</v>
      </c>
      <c r="C162" s="16" t="s">
        <v>191</v>
      </c>
      <c r="D162" s="16" t="s">
        <v>220</v>
      </c>
      <c r="E162" s="16" t="s">
        <v>191</v>
      </c>
      <c r="F162" s="11">
        <v>13000</v>
      </c>
      <c r="G162" s="16" t="s">
        <v>220</v>
      </c>
      <c r="H162" s="16" t="s">
        <v>191</v>
      </c>
      <c r="I162" s="204" t="e">
        <f t="shared" si="14"/>
        <v>#VALUE!</v>
      </c>
      <c r="J162" s="204" t="e">
        <f t="shared" si="14"/>
        <v>#VALUE!</v>
      </c>
      <c r="K162" s="204" t="e">
        <f t="shared" si="14"/>
        <v>#VALUE!</v>
      </c>
      <c r="L162" s="204">
        <f t="shared" si="14"/>
        <v>0.76470588235294112</v>
      </c>
      <c r="M162" s="204" t="e">
        <f t="shared" si="14"/>
        <v>#VALUE!</v>
      </c>
      <c r="N162" s="204" t="e">
        <f t="shared" si="14"/>
        <v>#VALUE!</v>
      </c>
    </row>
    <row r="163" spans="1:14">
      <c r="A163" s="140" t="s">
        <v>352</v>
      </c>
      <c r="B163" s="105">
        <v>20000</v>
      </c>
      <c r="C163" s="13" t="s">
        <v>191</v>
      </c>
      <c r="D163" s="13" t="s">
        <v>191</v>
      </c>
      <c r="E163" s="13" t="s">
        <v>191</v>
      </c>
      <c r="F163" s="9">
        <v>16000</v>
      </c>
      <c r="G163" s="13" t="s">
        <v>220</v>
      </c>
      <c r="H163" s="9">
        <v>1000</v>
      </c>
      <c r="I163" s="204" t="e">
        <f t="shared" si="14"/>
        <v>#VALUE!</v>
      </c>
      <c r="J163" s="204" t="e">
        <f t="shared" si="14"/>
        <v>#VALUE!</v>
      </c>
      <c r="K163" s="204" t="e">
        <f t="shared" si="14"/>
        <v>#VALUE!</v>
      </c>
      <c r="L163" s="204">
        <f t="shared" si="14"/>
        <v>0.8</v>
      </c>
      <c r="M163" s="204" t="e">
        <f t="shared" si="14"/>
        <v>#VALUE!</v>
      </c>
      <c r="N163" s="204">
        <f t="shared" si="14"/>
        <v>0.05</v>
      </c>
    </row>
    <row r="164" spans="1:14" ht="24">
      <c r="A164" s="140" t="s">
        <v>353</v>
      </c>
      <c r="B164" s="132">
        <v>10000</v>
      </c>
      <c r="C164" s="26" t="s">
        <v>220</v>
      </c>
      <c r="D164" s="26" t="s">
        <v>220</v>
      </c>
      <c r="E164" s="26" t="s">
        <v>220</v>
      </c>
      <c r="F164" s="25">
        <v>6000</v>
      </c>
      <c r="G164" s="26" t="s">
        <v>220</v>
      </c>
      <c r="H164" s="26" t="s">
        <v>220</v>
      </c>
      <c r="I164" s="204" t="e">
        <f t="shared" si="14"/>
        <v>#VALUE!</v>
      </c>
      <c r="J164" s="204" t="e">
        <f t="shared" si="14"/>
        <v>#VALUE!</v>
      </c>
      <c r="K164" s="204" t="e">
        <f t="shared" si="14"/>
        <v>#VALUE!</v>
      </c>
      <c r="L164" s="204">
        <f t="shared" si="14"/>
        <v>0.6</v>
      </c>
      <c r="M164" s="204" t="e">
        <f t="shared" si="14"/>
        <v>#VALUE!</v>
      </c>
      <c r="N164" s="204" t="e">
        <f t="shared" si="14"/>
        <v>#VALUE!</v>
      </c>
    </row>
    <row r="165" spans="1:14" ht="24">
      <c r="A165" s="140" t="s">
        <v>354</v>
      </c>
      <c r="B165" s="106">
        <v>47000</v>
      </c>
      <c r="C165" s="16" t="s">
        <v>220</v>
      </c>
      <c r="D165" s="16" t="s">
        <v>220</v>
      </c>
      <c r="E165" s="11">
        <v>2000</v>
      </c>
      <c r="F165" s="11">
        <v>11000</v>
      </c>
      <c r="G165" s="11">
        <v>33000</v>
      </c>
      <c r="H165" s="16" t="s">
        <v>220</v>
      </c>
      <c r="I165" s="204" t="e">
        <f t="shared" si="14"/>
        <v>#VALUE!</v>
      </c>
      <c r="J165" s="204" t="e">
        <f t="shared" si="14"/>
        <v>#VALUE!</v>
      </c>
      <c r="K165" s="204">
        <f t="shared" si="14"/>
        <v>4.2553191489361701E-2</v>
      </c>
      <c r="L165" s="204">
        <f t="shared" si="14"/>
        <v>0.23404255319148937</v>
      </c>
      <c r="M165" s="204">
        <f t="shared" si="14"/>
        <v>0.7021276595744681</v>
      </c>
      <c r="N165" s="204" t="e">
        <f t="shared" si="14"/>
        <v>#VALUE!</v>
      </c>
    </row>
    <row r="166" spans="1:14">
      <c r="A166" s="139" t="s">
        <v>230</v>
      </c>
      <c r="B166" s="105">
        <v>221000</v>
      </c>
      <c r="C166" s="13" t="s">
        <v>191</v>
      </c>
      <c r="D166" s="9">
        <v>1000</v>
      </c>
      <c r="E166" s="9">
        <v>10000</v>
      </c>
      <c r="F166" s="9">
        <v>65000</v>
      </c>
      <c r="G166" s="9">
        <v>75000</v>
      </c>
      <c r="H166" s="9">
        <v>69000</v>
      </c>
      <c r="I166" s="204" t="e">
        <f t="shared" si="14"/>
        <v>#VALUE!</v>
      </c>
      <c r="J166" s="204">
        <f t="shared" si="14"/>
        <v>4.5248868778280547E-3</v>
      </c>
      <c r="K166" s="204">
        <f t="shared" si="14"/>
        <v>4.5248868778280542E-2</v>
      </c>
      <c r="L166" s="204">
        <f t="shared" si="14"/>
        <v>0.29411764705882354</v>
      </c>
      <c r="M166" s="204">
        <f t="shared" si="14"/>
        <v>0.33936651583710409</v>
      </c>
      <c r="N166" s="204">
        <f t="shared" si="14"/>
        <v>0.31221719457013575</v>
      </c>
    </row>
    <row r="167" spans="1:14">
      <c r="A167" s="140" t="s">
        <v>355</v>
      </c>
      <c r="B167" s="105">
        <v>15000</v>
      </c>
      <c r="C167" s="13" t="s">
        <v>220</v>
      </c>
      <c r="D167" s="13" t="s">
        <v>220</v>
      </c>
      <c r="E167" s="9">
        <v>2000</v>
      </c>
      <c r="F167" s="9">
        <v>12000</v>
      </c>
      <c r="G167" s="13" t="s">
        <v>220</v>
      </c>
      <c r="H167" s="9">
        <v>1000</v>
      </c>
      <c r="I167" s="204" t="e">
        <f t="shared" si="14"/>
        <v>#VALUE!</v>
      </c>
      <c r="J167" s="204" t="e">
        <f t="shared" si="14"/>
        <v>#VALUE!</v>
      </c>
      <c r="K167" s="204">
        <f t="shared" si="14"/>
        <v>0.13333333333333333</v>
      </c>
      <c r="L167" s="204">
        <f t="shared" si="14"/>
        <v>0.8</v>
      </c>
      <c r="M167" s="204" t="e">
        <f t="shared" si="14"/>
        <v>#VALUE!</v>
      </c>
      <c r="N167" s="204">
        <f t="shared" si="14"/>
        <v>6.6666666666666666E-2</v>
      </c>
    </row>
    <row r="168" spans="1:14">
      <c r="A168" s="140" t="s">
        <v>356</v>
      </c>
      <c r="B168" s="105">
        <v>2000</v>
      </c>
      <c r="C168" s="13" t="s">
        <v>220</v>
      </c>
      <c r="D168" s="13" t="s">
        <v>220</v>
      </c>
      <c r="E168" s="13" t="s">
        <v>220</v>
      </c>
      <c r="F168" s="9">
        <v>1000</v>
      </c>
      <c r="G168" s="13" t="s">
        <v>220</v>
      </c>
      <c r="H168" s="13" t="s">
        <v>220</v>
      </c>
      <c r="I168" s="204" t="e">
        <f t="shared" si="14"/>
        <v>#VALUE!</v>
      </c>
      <c r="J168" s="204" t="e">
        <f t="shared" si="14"/>
        <v>#VALUE!</v>
      </c>
      <c r="K168" s="204" t="e">
        <f t="shared" si="14"/>
        <v>#VALUE!</v>
      </c>
      <c r="L168" s="204">
        <f t="shared" si="14"/>
        <v>0.5</v>
      </c>
      <c r="M168" s="204" t="e">
        <f t="shared" si="14"/>
        <v>#VALUE!</v>
      </c>
      <c r="N168" s="204" t="e">
        <f t="shared" si="14"/>
        <v>#VALUE!</v>
      </c>
    </row>
    <row r="169" spans="1:14">
      <c r="A169" s="140" t="s">
        <v>357</v>
      </c>
      <c r="B169" s="105">
        <v>75000</v>
      </c>
      <c r="C169" s="13" t="s">
        <v>220</v>
      </c>
      <c r="D169" s="13" t="s">
        <v>220</v>
      </c>
      <c r="E169" s="9">
        <v>4000</v>
      </c>
      <c r="F169" s="9">
        <v>5000</v>
      </c>
      <c r="G169" s="13" t="s">
        <v>220</v>
      </c>
      <c r="H169" s="9">
        <v>64000</v>
      </c>
      <c r="I169" s="204" t="e">
        <f t="shared" si="14"/>
        <v>#VALUE!</v>
      </c>
      <c r="J169" s="204" t="e">
        <f t="shared" si="14"/>
        <v>#VALUE!</v>
      </c>
      <c r="K169" s="204">
        <f t="shared" si="14"/>
        <v>5.3333333333333337E-2</v>
      </c>
      <c r="L169" s="204">
        <f t="shared" si="14"/>
        <v>6.6666666666666666E-2</v>
      </c>
      <c r="M169" s="204" t="e">
        <f t="shared" si="14"/>
        <v>#VALUE!</v>
      </c>
      <c r="N169" s="204">
        <f t="shared" si="14"/>
        <v>0.85333333333333339</v>
      </c>
    </row>
    <row r="170" spans="1:14">
      <c r="A170" s="140" t="s">
        <v>358</v>
      </c>
      <c r="B170" s="105">
        <v>3000</v>
      </c>
      <c r="C170" s="13" t="s">
        <v>220</v>
      </c>
      <c r="D170" s="13" t="s">
        <v>220</v>
      </c>
      <c r="E170" s="13" t="s">
        <v>220</v>
      </c>
      <c r="F170" s="9">
        <v>2000</v>
      </c>
      <c r="G170" s="13" t="s">
        <v>220</v>
      </c>
      <c r="H170" s="13" t="s">
        <v>220</v>
      </c>
      <c r="I170" s="204" t="e">
        <f t="shared" si="14"/>
        <v>#VALUE!</v>
      </c>
      <c r="J170" s="204" t="e">
        <f t="shared" si="14"/>
        <v>#VALUE!</v>
      </c>
      <c r="K170" s="204" t="e">
        <f t="shared" si="14"/>
        <v>#VALUE!</v>
      </c>
      <c r="L170" s="204">
        <f t="shared" si="14"/>
        <v>0.66666666666666663</v>
      </c>
      <c r="M170" s="204" t="e">
        <f t="shared" si="14"/>
        <v>#VALUE!</v>
      </c>
      <c r="N170" s="204" t="e">
        <f t="shared" si="14"/>
        <v>#VALUE!</v>
      </c>
    </row>
    <row r="171" spans="1:14">
      <c r="A171" s="140" t="s">
        <v>359</v>
      </c>
      <c r="B171" s="106">
        <v>17000</v>
      </c>
      <c r="C171" s="16" t="s">
        <v>220</v>
      </c>
      <c r="D171" s="16" t="s">
        <v>220</v>
      </c>
      <c r="E171" s="11">
        <v>1000</v>
      </c>
      <c r="F171" s="11">
        <v>14000</v>
      </c>
      <c r="G171" s="16" t="s">
        <v>220</v>
      </c>
      <c r="H171" s="11">
        <v>1000</v>
      </c>
      <c r="I171" s="204" t="e">
        <f t="shared" si="14"/>
        <v>#VALUE!</v>
      </c>
      <c r="J171" s="204" t="e">
        <f t="shared" si="14"/>
        <v>#VALUE!</v>
      </c>
      <c r="K171" s="204">
        <f t="shared" si="14"/>
        <v>5.8823529411764705E-2</v>
      </c>
      <c r="L171" s="204">
        <f t="shared" si="14"/>
        <v>0.82352941176470584</v>
      </c>
      <c r="M171" s="204" t="e">
        <f t="shared" si="14"/>
        <v>#VALUE!</v>
      </c>
      <c r="N171" s="204">
        <f t="shared" si="14"/>
        <v>5.8823529411764705E-2</v>
      </c>
    </row>
    <row r="172" spans="1:14" ht="24">
      <c r="A172" s="140" t="s">
        <v>360</v>
      </c>
      <c r="B172" s="106">
        <v>110000</v>
      </c>
      <c r="C172" s="16" t="s">
        <v>220</v>
      </c>
      <c r="D172" s="16" t="s">
        <v>220</v>
      </c>
      <c r="E172" s="11">
        <v>3000</v>
      </c>
      <c r="F172" s="11">
        <v>31000</v>
      </c>
      <c r="G172" s="11">
        <v>74000</v>
      </c>
      <c r="H172" s="11">
        <v>2000</v>
      </c>
      <c r="I172" s="204" t="e">
        <f t="shared" si="14"/>
        <v>#VALUE!</v>
      </c>
      <c r="J172" s="204" t="e">
        <f t="shared" si="14"/>
        <v>#VALUE!</v>
      </c>
      <c r="K172" s="204">
        <f t="shared" si="14"/>
        <v>2.7272727272727271E-2</v>
      </c>
      <c r="L172" s="204">
        <f t="shared" si="14"/>
        <v>0.2818181818181818</v>
      </c>
      <c r="M172" s="204">
        <f t="shared" si="14"/>
        <v>0.67272727272727273</v>
      </c>
      <c r="N172" s="204">
        <f t="shared" si="14"/>
        <v>1.8181818181818181E-2</v>
      </c>
    </row>
    <row r="173" spans="1:14">
      <c r="A173" s="139" t="s">
        <v>231</v>
      </c>
      <c r="B173" s="105">
        <v>141000</v>
      </c>
      <c r="C173" s="9">
        <v>7000</v>
      </c>
      <c r="D173" s="9">
        <v>12000</v>
      </c>
      <c r="E173" s="9">
        <v>24000</v>
      </c>
      <c r="F173" s="9">
        <v>70000</v>
      </c>
      <c r="G173" s="9">
        <v>18000</v>
      </c>
      <c r="H173" s="9">
        <v>10000</v>
      </c>
      <c r="I173" s="204">
        <f t="shared" si="14"/>
        <v>4.9645390070921988E-2</v>
      </c>
      <c r="J173" s="204">
        <f t="shared" si="14"/>
        <v>8.5106382978723402E-2</v>
      </c>
      <c r="K173" s="204">
        <f t="shared" si="14"/>
        <v>0.1702127659574468</v>
      </c>
      <c r="L173" s="204">
        <f t="shared" si="14"/>
        <v>0.49645390070921985</v>
      </c>
      <c r="M173" s="204">
        <f t="shared" si="14"/>
        <v>0.1276595744680851</v>
      </c>
      <c r="N173" s="204">
        <f t="shared" si="14"/>
        <v>7.0921985815602842E-2</v>
      </c>
    </row>
    <row r="174" spans="1:14" ht="24">
      <c r="A174" s="140" t="s">
        <v>361</v>
      </c>
      <c r="B174" s="106">
        <v>9000</v>
      </c>
      <c r="C174" s="16" t="s">
        <v>191</v>
      </c>
      <c r="D174" s="16" t="s">
        <v>191</v>
      </c>
      <c r="E174" s="16" t="s">
        <v>191</v>
      </c>
      <c r="F174" s="11">
        <v>5000</v>
      </c>
      <c r="G174" s="16" t="s">
        <v>220</v>
      </c>
      <c r="H174" s="16" t="s">
        <v>220</v>
      </c>
      <c r="I174" s="204" t="e">
        <f t="shared" si="14"/>
        <v>#VALUE!</v>
      </c>
      <c r="J174" s="204" t="e">
        <f t="shared" si="14"/>
        <v>#VALUE!</v>
      </c>
      <c r="K174" s="204" t="e">
        <f t="shared" si="14"/>
        <v>#VALUE!</v>
      </c>
      <c r="L174" s="204">
        <f t="shared" si="14"/>
        <v>0.55555555555555558</v>
      </c>
      <c r="M174" s="204" t="e">
        <f t="shared" si="14"/>
        <v>#VALUE!</v>
      </c>
      <c r="N174" s="204" t="e">
        <f t="shared" si="14"/>
        <v>#VALUE!</v>
      </c>
    </row>
    <row r="175" spans="1:14">
      <c r="A175" s="140" t="s">
        <v>362</v>
      </c>
      <c r="B175" s="105">
        <v>8000</v>
      </c>
      <c r="C175" s="13" t="s">
        <v>220</v>
      </c>
      <c r="D175" s="9">
        <v>1000</v>
      </c>
      <c r="E175" s="9">
        <v>1000</v>
      </c>
      <c r="F175" s="9">
        <v>6000</v>
      </c>
      <c r="G175" s="13" t="s">
        <v>220</v>
      </c>
      <c r="H175" s="13" t="s">
        <v>220</v>
      </c>
      <c r="I175" s="204" t="e">
        <f t="shared" si="14"/>
        <v>#VALUE!</v>
      </c>
      <c r="J175" s="204">
        <f t="shared" si="14"/>
        <v>0.125</v>
      </c>
      <c r="K175" s="204">
        <f t="shared" si="14"/>
        <v>0.125</v>
      </c>
      <c r="L175" s="204">
        <f t="shared" si="14"/>
        <v>0.75</v>
      </c>
      <c r="M175" s="204" t="e">
        <f t="shared" si="14"/>
        <v>#VALUE!</v>
      </c>
      <c r="N175" s="204" t="e">
        <f t="shared" si="14"/>
        <v>#VALUE!</v>
      </c>
    </row>
    <row r="176" spans="1:14">
      <c r="A176" s="140" t="s">
        <v>363</v>
      </c>
      <c r="B176" s="106">
        <v>10000</v>
      </c>
      <c r="C176" s="16" t="s">
        <v>220</v>
      </c>
      <c r="D176" s="11">
        <v>2000</v>
      </c>
      <c r="E176" s="11">
        <v>3000</v>
      </c>
      <c r="F176" s="11">
        <v>3000</v>
      </c>
      <c r="G176" s="16" t="s">
        <v>220</v>
      </c>
      <c r="H176" s="11">
        <v>3000</v>
      </c>
      <c r="I176" s="204" t="e">
        <f t="shared" si="14"/>
        <v>#VALUE!</v>
      </c>
      <c r="J176" s="204">
        <f t="shared" si="14"/>
        <v>0.2</v>
      </c>
      <c r="K176" s="204">
        <f t="shared" si="14"/>
        <v>0.3</v>
      </c>
      <c r="L176" s="204">
        <f t="shared" si="14"/>
        <v>0.3</v>
      </c>
      <c r="M176" s="204" t="e">
        <f t="shared" si="14"/>
        <v>#VALUE!</v>
      </c>
      <c r="N176" s="204">
        <f t="shared" si="14"/>
        <v>0.3</v>
      </c>
    </row>
    <row r="177" spans="1:14" ht="24">
      <c r="A177" s="140" t="s">
        <v>364</v>
      </c>
      <c r="B177" s="106">
        <v>32000</v>
      </c>
      <c r="C177" s="11">
        <v>3000</v>
      </c>
      <c r="D177" s="11">
        <v>5000</v>
      </c>
      <c r="E177" s="11">
        <v>4000</v>
      </c>
      <c r="F177" s="11">
        <v>19000</v>
      </c>
      <c r="G177" s="16" t="s">
        <v>220</v>
      </c>
      <c r="H177" s="11">
        <v>2000</v>
      </c>
      <c r="I177" s="204">
        <f t="shared" si="14"/>
        <v>9.375E-2</v>
      </c>
      <c r="J177" s="204">
        <f t="shared" si="14"/>
        <v>0.15625</v>
      </c>
      <c r="K177" s="204">
        <f t="shared" si="14"/>
        <v>0.125</v>
      </c>
      <c r="L177" s="204">
        <f t="shared" si="14"/>
        <v>0.59375</v>
      </c>
      <c r="M177" s="204" t="e">
        <f t="shared" si="14"/>
        <v>#VALUE!</v>
      </c>
      <c r="N177" s="204">
        <f t="shared" si="14"/>
        <v>6.25E-2</v>
      </c>
    </row>
    <row r="178" spans="1:14">
      <c r="A178" s="140" t="s">
        <v>365</v>
      </c>
      <c r="B178" s="107">
        <v>1000</v>
      </c>
      <c r="C178" s="19" t="s">
        <v>220</v>
      </c>
      <c r="D178" s="19" t="s">
        <v>220</v>
      </c>
      <c r="E178" s="19" t="s">
        <v>220</v>
      </c>
      <c r="F178" s="19" t="s">
        <v>220</v>
      </c>
      <c r="G178" s="19" t="s">
        <v>220</v>
      </c>
      <c r="H178" s="19" t="s">
        <v>220</v>
      </c>
      <c r="I178" s="204" t="e">
        <f>C178/$B178</f>
        <v>#VALUE!</v>
      </c>
      <c r="J178" s="204" t="e">
        <f t="shared" ref="J178:N193" si="15">D178/$B178</f>
        <v>#VALUE!</v>
      </c>
      <c r="K178" s="204" t="e">
        <f t="shared" si="15"/>
        <v>#VALUE!</v>
      </c>
      <c r="L178" s="204" t="e">
        <f t="shared" si="15"/>
        <v>#VALUE!</v>
      </c>
      <c r="M178" s="204" t="e">
        <f t="shared" si="15"/>
        <v>#VALUE!</v>
      </c>
      <c r="N178" s="204" t="e">
        <f t="shared" si="15"/>
        <v>#VALUE!</v>
      </c>
    </row>
    <row r="179" spans="1:14">
      <c r="A179" s="140" t="s">
        <v>366</v>
      </c>
      <c r="B179" s="105">
        <v>14000</v>
      </c>
      <c r="C179" s="13" t="s">
        <v>220</v>
      </c>
      <c r="D179" s="9">
        <v>2000</v>
      </c>
      <c r="E179" s="9">
        <v>2000</v>
      </c>
      <c r="F179" s="9">
        <v>10000</v>
      </c>
      <c r="G179" s="13" t="s">
        <v>220</v>
      </c>
      <c r="H179" s="13" t="s">
        <v>222</v>
      </c>
      <c r="I179" s="204" t="e">
        <f t="shared" ref="I179:N196" si="16">C179/$B179</f>
        <v>#VALUE!</v>
      </c>
      <c r="J179" s="204">
        <f t="shared" si="15"/>
        <v>0.14285714285714285</v>
      </c>
      <c r="K179" s="204">
        <f t="shared" si="15"/>
        <v>0.14285714285714285</v>
      </c>
      <c r="L179" s="204">
        <f t="shared" si="15"/>
        <v>0.7142857142857143</v>
      </c>
      <c r="M179" s="204" t="e">
        <f t="shared" si="15"/>
        <v>#VALUE!</v>
      </c>
      <c r="N179" s="204" t="e">
        <f t="shared" si="15"/>
        <v>#VALUE!</v>
      </c>
    </row>
    <row r="180" spans="1:14">
      <c r="A180" s="140" t="s">
        <v>367</v>
      </c>
      <c r="B180" s="105">
        <v>32000</v>
      </c>
      <c r="C180" s="9">
        <v>1000</v>
      </c>
      <c r="D180" s="9">
        <v>2000</v>
      </c>
      <c r="E180" s="9">
        <v>6000</v>
      </c>
      <c r="F180" s="9">
        <v>18000</v>
      </c>
      <c r="G180" s="13" t="s">
        <v>220</v>
      </c>
      <c r="H180" s="9">
        <v>4000</v>
      </c>
      <c r="I180" s="204">
        <f t="shared" si="16"/>
        <v>3.125E-2</v>
      </c>
      <c r="J180" s="204">
        <f t="shared" si="15"/>
        <v>6.25E-2</v>
      </c>
      <c r="K180" s="204">
        <f t="shared" si="15"/>
        <v>0.1875</v>
      </c>
      <c r="L180" s="204">
        <f t="shared" si="15"/>
        <v>0.5625</v>
      </c>
      <c r="M180" s="204" t="e">
        <f t="shared" si="15"/>
        <v>#VALUE!</v>
      </c>
      <c r="N180" s="204">
        <f t="shared" si="15"/>
        <v>0.125</v>
      </c>
    </row>
    <row r="181" spans="1:14">
      <c r="A181" s="140" t="s">
        <v>368</v>
      </c>
      <c r="B181" s="106">
        <v>34000</v>
      </c>
      <c r="C181" s="16" t="s">
        <v>220</v>
      </c>
      <c r="D181" s="16" t="s">
        <v>220</v>
      </c>
      <c r="E181" s="11">
        <v>6000</v>
      </c>
      <c r="F181" s="11">
        <v>11000</v>
      </c>
      <c r="G181" s="11">
        <v>17000</v>
      </c>
      <c r="H181" s="16" t="s">
        <v>222</v>
      </c>
      <c r="I181" s="204" t="e">
        <f t="shared" si="16"/>
        <v>#VALUE!</v>
      </c>
      <c r="J181" s="204" t="e">
        <f t="shared" si="15"/>
        <v>#VALUE!</v>
      </c>
      <c r="K181" s="204">
        <f t="shared" si="15"/>
        <v>0.17647058823529413</v>
      </c>
      <c r="L181" s="204">
        <f t="shared" si="15"/>
        <v>0.3235294117647059</v>
      </c>
      <c r="M181" s="204">
        <f t="shared" si="15"/>
        <v>0.5</v>
      </c>
      <c r="N181" s="204" t="e">
        <f t="shared" si="15"/>
        <v>#VALUE!</v>
      </c>
    </row>
    <row r="182" spans="1:14">
      <c r="A182" s="138" t="s">
        <v>175</v>
      </c>
      <c r="B182" s="105">
        <v>374000</v>
      </c>
      <c r="C182" s="9">
        <v>11000</v>
      </c>
      <c r="D182" s="9">
        <v>6000</v>
      </c>
      <c r="E182" s="9">
        <v>60000</v>
      </c>
      <c r="F182" s="9">
        <v>74000</v>
      </c>
      <c r="G182" s="9">
        <v>53000</v>
      </c>
      <c r="H182" s="9">
        <v>169000</v>
      </c>
      <c r="I182" s="204">
        <f t="shared" si="16"/>
        <v>2.9411764705882353E-2</v>
      </c>
      <c r="J182" s="204">
        <f t="shared" si="15"/>
        <v>1.6042780748663103E-2</v>
      </c>
      <c r="K182" s="204">
        <f t="shared" si="15"/>
        <v>0.16042780748663102</v>
      </c>
      <c r="L182" s="204">
        <f t="shared" si="15"/>
        <v>0.19786096256684493</v>
      </c>
      <c r="M182" s="204">
        <f t="shared" si="15"/>
        <v>0.14171122994652408</v>
      </c>
      <c r="N182" s="204">
        <f t="shared" si="15"/>
        <v>0.45187165775401067</v>
      </c>
    </row>
    <row r="183" spans="1:14">
      <c r="A183" s="139" t="s">
        <v>369</v>
      </c>
      <c r="B183" s="105">
        <v>237000</v>
      </c>
      <c r="C183" s="13" t="s">
        <v>220</v>
      </c>
      <c r="D183" s="13" t="s">
        <v>220</v>
      </c>
      <c r="E183" s="9">
        <v>15000</v>
      </c>
      <c r="F183" s="9">
        <v>32000</v>
      </c>
      <c r="G183" s="9">
        <v>29000</v>
      </c>
      <c r="H183" s="9">
        <v>159000</v>
      </c>
      <c r="I183" s="204" t="e">
        <f t="shared" si="16"/>
        <v>#VALUE!</v>
      </c>
      <c r="J183" s="204" t="e">
        <f t="shared" si="15"/>
        <v>#VALUE!</v>
      </c>
      <c r="K183" s="204">
        <f t="shared" si="15"/>
        <v>6.3291139240506333E-2</v>
      </c>
      <c r="L183" s="204">
        <f t="shared" si="15"/>
        <v>0.13502109704641349</v>
      </c>
      <c r="M183" s="204">
        <f t="shared" si="15"/>
        <v>0.12236286919831224</v>
      </c>
      <c r="N183" s="204">
        <f t="shared" si="15"/>
        <v>0.67088607594936711</v>
      </c>
    </row>
    <row r="184" spans="1:14">
      <c r="A184" s="139" t="s">
        <v>370</v>
      </c>
      <c r="B184" s="105">
        <v>63000</v>
      </c>
      <c r="C184" s="9">
        <v>3000</v>
      </c>
      <c r="D184" s="9">
        <v>2000</v>
      </c>
      <c r="E184" s="9">
        <v>39000</v>
      </c>
      <c r="F184" s="9">
        <v>16000</v>
      </c>
      <c r="G184" s="13" t="s">
        <v>220</v>
      </c>
      <c r="H184" s="9">
        <v>5000</v>
      </c>
      <c r="I184" s="204">
        <f t="shared" si="16"/>
        <v>4.7619047619047616E-2</v>
      </c>
      <c r="J184" s="204">
        <f t="shared" si="15"/>
        <v>3.1746031746031744E-2</v>
      </c>
      <c r="K184" s="204">
        <f t="shared" si="15"/>
        <v>0.61904761904761907</v>
      </c>
      <c r="L184" s="204">
        <f t="shared" si="15"/>
        <v>0.25396825396825395</v>
      </c>
      <c r="M184" s="204" t="e">
        <f t="shared" si="15"/>
        <v>#VALUE!</v>
      </c>
      <c r="N184" s="204">
        <f t="shared" si="15"/>
        <v>7.9365079365079361E-2</v>
      </c>
    </row>
    <row r="185" spans="1:14">
      <c r="A185" s="139" t="s">
        <v>371</v>
      </c>
      <c r="B185" s="105">
        <v>25000</v>
      </c>
      <c r="C185" s="13" t="s">
        <v>220</v>
      </c>
      <c r="D185" s="13" t="s">
        <v>220</v>
      </c>
      <c r="E185" s="13" t="s">
        <v>220</v>
      </c>
      <c r="F185" s="13" t="s">
        <v>220</v>
      </c>
      <c r="G185" s="9">
        <v>24000</v>
      </c>
      <c r="H185" s="13" t="s">
        <v>191</v>
      </c>
      <c r="I185" s="204" t="e">
        <f t="shared" si="16"/>
        <v>#VALUE!</v>
      </c>
      <c r="J185" s="204" t="e">
        <f t="shared" si="15"/>
        <v>#VALUE!</v>
      </c>
      <c r="K185" s="204" t="e">
        <f t="shared" si="15"/>
        <v>#VALUE!</v>
      </c>
      <c r="L185" s="204" t="e">
        <f t="shared" si="15"/>
        <v>#VALUE!</v>
      </c>
      <c r="M185" s="204">
        <f t="shared" si="15"/>
        <v>0.96</v>
      </c>
      <c r="N185" s="204" t="e">
        <f t="shared" si="15"/>
        <v>#VALUE!</v>
      </c>
    </row>
    <row r="186" spans="1:14">
      <c r="A186" s="139" t="s">
        <v>372</v>
      </c>
      <c r="B186" s="106">
        <v>46000</v>
      </c>
      <c r="C186" s="11">
        <v>7000</v>
      </c>
      <c r="D186" s="11">
        <v>3000</v>
      </c>
      <c r="E186" s="11">
        <v>7000</v>
      </c>
      <c r="F186" s="11">
        <v>25000</v>
      </c>
      <c r="G186" s="16" t="s">
        <v>220</v>
      </c>
      <c r="H186" s="11">
        <v>4000</v>
      </c>
      <c r="I186" s="204">
        <f t="shared" si="16"/>
        <v>0.15217391304347827</v>
      </c>
      <c r="J186" s="204">
        <f t="shared" si="15"/>
        <v>6.5217391304347824E-2</v>
      </c>
      <c r="K186" s="204">
        <f t="shared" si="15"/>
        <v>0.15217391304347827</v>
      </c>
      <c r="L186" s="204">
        <f t="shared" si="15"/>
        <v>0.54347826086956519</v>
      </c>
      <c r="M186" s="204" t="e">
        <f t="shared" si="15"/>
        <v>#VALUE!</v>
      </c>
      <c r="N186" s="204">
        <f t="shared" si="15"/>
        <v>8.6956521739130432E-2</v>
      </c>
    </row>
    <row r="187" spans="1:14">
      <c r="A187" s="139" t="s">
        <v>373</v>
      </c>
      <c r="B187" s="105">
        <v>2000</v>
      </c>
      <c r="C187" s="13" t="s">
        <v>220</v>
      </c>
      <c r="D187" s="13" t="s">
        <v>220</v>
      </c>
      <c r="E187" s="13" t="s">
        <v>220</v>
      </c>
      <c r="F187" s="13" t="s">
        <v>191</v>
      </c>
      <c r="G187" s="13" t="s">
        <v>220</v>
      </c>
      <c r="H187" s="13" t="s">
        <v>220</v>
      </c>
      <c r="I187" s="204" t="e">
        <f t="shared" si="16"/>
        <v>#VALUE!</v>
      </c>
      <c r="J187" s="204" t="e">
        <f t="shared" si="15"/>
        <v>#VALUE!</v>
      </c>
      <c r="K187" s="204" t="e">
        <f t="shared" si="15"/>
        <v>#VALUE!</v>
      </c>
      <c r="L187" s="204" t="e">
        <f t="shared" si="15"/>
        <v>#VALUE!</v>
      </c>
      <c r="M187" s="204" t="e">
        <f t="shared" si="15"/>
        <v>#VALUE!</v>
      </c>
      <c r="N187" s="204" t="e">
        <f t="shared" si="15"/>
        <v>#VALUE!</v>
      </c>
    </row>
    <row r="188" spans="1:14">
      <c r="A188" s="138" t="s">
        <v>176</v>
      </c>
      <c r="B188" s="105">
        <v>805000</v>
      </c>
      <c r="C188" s="9">
        <v>10000</v>
      </c>
      <c r="D188" s="9">
        <v>10000</v>
      </c>
      <c r="E188" s="9">
        <v>254000</v>
      </c>
      <c r="F188" s="9">
        <v>124000</v>
      </c>
      <c r="G188" s="9">
        <v>264000</v>
      </c>
      <c r="H188" s="9">
        <v>143000</v>
      </c>
      <c r="I188" s="204">
        <f t="shared" si="16"/>
        <v>1.2422360248447204E-2</v>
      </c>
      <c r="J188" s="204">
        <f t="shared" si="15"/>
        <v>1.2422360248447204E-2</v>
      </c>
      <c r="K188" s="204">
        <f t="shared" si="15"/>
        <v>0.31552795031055902</v>
      </c>
      <c r="L188" s="204">
        <f t="shared" si="15"/>
        <v>0.15403726708074533</v>
      </c>
      <c r="M188" s="204">
        <f t="shared" si="15"/>
        <v>0.3279503105590062</v>
      </c>
      <c r="N188" s="204">
        <f t="shared" si="15"/>
        <v>0.17763975155279504</v>
      </c>
    </row>
    <row r="189" spans="1:14">
      <c r="A189" s="139" t="s">
        <v>374</v>
      </c>
      <c r="B189" s="105">
        <v>212000</v>
      </c>
      <c r="C189" s="9">
        <v>4000</v>
      </c>
      <c r="D189" s="9">
        <v>3000</v>
      </c>
      <c r="E189" s="9">
        <v>140000</v>
      </c>
      <c r="F189" s="9">
        <v>36000</v>
      </c>
      <c r="G189" s="13" t="s">
        <v>191</v>
      </c>
      <c r="H189" s="9">
        <v>23000</v>
      </c>
      <c r="I189" s="204">
        <f t="shared" si="16"/>
        <v>1.8867924528301886E-2</v>
      </c>
      <c r="J189" s="204">
        <f t="shared" si="15"/>
        <v>1.4150943396226415E-2</v>
      </c>
      <c r="K189" s="204">
        <f t="shared" si="15"/>
        <v>0.660377358490566</v>
      </c>
      <c r="L189" s="204">
        <f t="shared" si="15"/>
        <v>0.16981132075471697</v>
      </c>
      <c r="M189" s="204" t="e">
        <f t="shared" si="15"/>
        <v>#VALUE!</v>
      </c>
      <c r="N189" s="204">
        <f t="shared" si="15"/>
        <v>0.10849056603773585</v>
      </c>
    </row>
    <row r="190" spans="1:14">
      <c r="A190" s="139" t="s">
        <v>406</v>
      </c>
      <c r="B190" s="106">
        <v>116000</v>
      </c>
      <c r="C190" s="16" t="s">
        <v>191</v>
      </c>
      <c r="D190" s="11">
        <v>3000</v>
      </c>
      <c r="E190" s="11">
        <v>50000</v>
      </c>
      <c r="F190" s="11">
        <v>25000</v>
      </c>
      <c r="G190" s="11">
        <v>4000</v>
      </c>
      <c r="H190" s="11">
        <v>31000</v>
      </c>
      <c r="I190" s="204" t="e">
        <f t="shared" si="16"/>
        <v>#VALUE!</v>
      </c>
      <c r="J190" s="204">
        <f t="shared" si="15"/>
        <v>2.5862068965517241E-2</v>
      </c>
      <c r="K190" s="204">
        <f t="shared" si="15"/>
        <v>0.43103448275862066</v>
      </c>
      <c r="L190" s="204">
        <f t="shared" si="15"/>
        <v>0.21551724137931033</v>
      </c>
      <c r="M190" s="204">
        <f t="shared" si="15"/>
        <v>3.4482758620689655E-2</v>
      </c>
      <c r="N190" s="204">
        <f t="shared" si="15"/>
        <v>0.26724137931034481</v>
      </c>
    </row>
    <row r="191" spans="1:14">
      <c r="A191" s="139" t="s">
        <v>376</v>
      </c>
      <c r="B191" s="105">
        <v>27000</v>
      </c>
      <c r="C191" s="13" t="s">
        <v>220</v>
      </c>
      <c r="D191" s="13" t="s">
        <v>220</v>
      </c>
      <c r="E191" s="13" t="s">
        <v>191</v>
      </c>
      <c r="F191" s="13" t="s">
        <v>220</v>
      </c>
      <c r="G191" s="9">
        <v>24000</v>
      </c>
      <c r="H191" s="13" t="s">
        <v>220</v>
      </c>
      <c r="I191" s="204" t="e">
        <f t="shared" si="16"/>
        <v>#VALUE!</v>
      </c>
      <c r="J191" s="204" t="e">
        <f t="shared" si="15"/>
        <v>#VALUE!</v>
      </c>
      <c r="K191" s="204" t="e">
        <f t="shared" si="15"/>
        <v>#VALUE!</v>
      </c>
      <c r="L191" s="204" t="e">
        <f t="shared" si="15"/>
        <v>#VALUE!</v>
      </c>
      <c r="M191" s="204">
        <f t="shared" si="15"/>
        <v>0.88888888888888884</v>
      </c>
      <c r="N191" s="204" t="e">
        <f t="shared" si="15"/>
        <v>#VALUE!</v>
      </c>
    </row>
    <row r="192" spans="1:14">
      <c r="A192" s="139" t="s">
        <v>377</v>
      </c>
      <c r="B192" s="106">
        <v>230000</v>
      </c>
      <c r="C192" s="16" t="s">
        <v>220</v>
      </c>
      <c r="D192" s="16" t="s">
        <v>220</v>
      </c>
      <c r="E192" s="11">
        <v>12000</v>
      </c>
      <c r="F192" s="11">
        <v>30000</v>
      </c>
      <c r="G192" s="11">
        <v>183000</v>
      </c>
      <c r="H192" s="11">
        <v>4000</v>
      </c>
      <c r="I192" s="204" t="e">
        <f t="shared" si="16"/>
        <v>#VALUE!</v>
      </c>
      <c r="J192" s="204" t="e">
        <f t="shared" si="15"/>
        <v>#VALUE!</v>
      </c>
      <c r="K192" s="204">
        <f t="shared" si="15"/>
        <v>5.2173913043478258E-2</v>
      </c>
      <c r="L192" s="204">
        <f t="shared" si="15"/>
        <v>0.13043478260869565</v>
      </c>
      <c r="M192" s="204">
        <f t="shared" si="15"/>
        <v>0.79565217391304344</v>
      </c>
      <c r="N192" s="204">
        <f t="shared" si="15"/>
        <v>1.7391304347826087E-2</v>
      </c>
    </row>
    <row r="193" spans="1:14">
      <c r="A193" s="139" t="s">
        <v>378</v>
      </c>
      <c r="B193" s="106">
        <v>62000</v>
      </c>
      <c r="C193" s="16" t="s">
        <v>220</v>
      </c>
      <c r="D193" s="16" t="s">
        <v>220</v>
      </c>
      <c r="E193" s="11">
        <v>16000</v>
      </c>
      <c r="F193" s="16" t="s">
        <v>220</v>
      </c>
      <c r="G193" s="11">
        <v>18000</v>
      </c>
      <c r="H193" s="11">
        <v>23000</v>
      </c>
      <c r="I193" s="204" t="e">
        <f t="shared" si="16"/>
        <v>#VALUE!</v>
      </c>
      <c r="J193" s="204" t="e">
        <f t="shared" si="15"/>
        <v>#VALUE!</v>
      </c>
      <c r="K193" s="204">
        <f t="shared" si="15"/>
        <v>0.25806451612903225</v>
      </c>
      <c r="L193" s="204" t="e">
        <f t="shared" si="15"/>
        <v>#VALUE!</v>
      </c>
      <c r="M193" s="204">
        <f t="shared" si="15"/>
        <v>0.29032258064516131</v>
      </c>
      <c r="N193" s="204">
        <f t="shared" si="15"/>
        <v>0.37096774193548387</v>
      </c>
    </row>
    <row r="194" spans="1:14">
      <c r="A194" s="139" t="s">
        <v>379</v>
      </c>
      <c r="B194" s="106">
        <v>23000</v>
      </c>
      <c r="C194" s="16" t="s">
        <v>220</v>
      </c>
      <c r="D194" s="16" t="s">
        <v>220</v>
      </c>
      <c r="E194" s="11">
        <v>16000</v>
      </c>
      <c r="F194" s="11">
        <v>4000</v>
      </c>
      <c r="G194" s="16" t="s">
        <v>220</v>
      </c>
      <c r="H194" s="11">
        <v>2000</v>
      </c>
      <c r="I194" s="204" t="e">
        <f t="shared" si="16"/>
        <v>#VALUE!</v>
      </c>
      <c r="J194" s="204" t="e">
        <f t="shared" si="16"/>
        <v>#VALUE!</v>
      </c>
      <c r="K194" s="204">
        <f t="shared" si="16"/>
        <v>0.69565217391304346</v>
      </c>
      <c r="L194" s="204">
        <f t="shared" si="16"/>
        <v>0.17391304347826086</v>
      </c>
      <c r="M194" s="204" t="e">
        <f t="shared" si="16"/>
        <v>#VALUE!</v>
      </c>
      <c r="N194" s="204">
        <f t="shared" si="16"/>
        <v>8.6956521739130432E-2</v>
      </c>
    </row>
    <row r="195" spans="1:14">
      <c r="A195" s="139" t="s">
        <v>380</v>
      </c>
      <c r="B195" s="106">
        <v>38000</v>
      </c>
      <c r="C195" s="16" t="s">
        <v>220</v>
      </c>
      <c r="D195" s="16" t="s">
        <v>220</v>
      </c>
      <c r="E195" s="16" t="s">
        <v>191</v>
      </c>
      <c r="F195" s="11">
        <v>8000</v>
      </c>
      <c r="G195" s="16" t="s">
        <v>220</v>
      </c>
      <c r="H195" s="11">
        <v>22000</v>
      </c>
      <c r="I195" s="204" t="e">
        <f t="shared" si="16"/>
        <v>#VALUE!</v>
      </c>
      <c r="J195" s="204" t="e">
        <f t="shared" si="16"/>
        <v>#VALUE!</v>
      </c>
      <c r="K195" s="204" t="e">
        <f t="shared" si="16"/>
        <v>#VALUE!</v>
      </c>
      <c r="L195" s="204">
        <f t="shared" si="16"/>
        <v>0.21052631578947367</v>
      </c>
      <c r="M195" s="204" t="e">
        <f t="shared" si="16"/>
        <v>#VALUE!</v>
      </c>
      <c r="N195" s="204">
        <f t="shared" si="16"/>
        <v>0.57894736842105265</v>
      </c>
    </row>
    <row r="196" spans="1:14">
      <c r="A196" s="139" t="s">
        <v>381</v>
      </c>
      <c r="B196" s="105">
        <v>97000</v>
      </c>
      <c r="C196" s="13" t="s">
        <v>191</v>
      </c>
      <c r="D196" s="13" t="s">
        <v>220</v>
      </c>
      <c r="E196" s="9">
        <v>11000</v>
      </c>
      <c r="F196" s="9">
        <v>17000</v>
      </c>
      <c r="G196" s="9">
        <v>30000</v>
      </c>
      <c r="H196" s="9">
        <v>38000</v>
      </c>
      <c r="I196" s="204" t="e">
        <f t="shared" si="16"/>
        <v>#VALUE!</v>
      </c>
      <c r="J196" s="204" t="e">
        <f t="shared" si="16"/>
        <v>#VALUE!</v>
      </c>
      <c r="K196" s="204">
        <f t="shared" si="16"/>
        <v>0.1134020618556701</v>
      </c>
      <c r="L196" s="204">
        <f t="shared" si="16"/>
        <v>0.17525773195876287</v>
      </c>
      <c r="M196" s="204">
        <f t="shared" si="16"/>
        <v>0.30927835051546393</v>
      </c>
      <c r="N196" s="204">
        <f t="shared" si="16"/>
        <v>0.39175257731958762</v>
      </c>
    </row>
    <row r="197" spans="1:14">
      <c r="A197" s="111" t="s">
        <v>223</v>
      </c>
      <c r="B197" s="109">
        <v>3246000</v>
      </c>
      <c r="C197" s="104">
        <v>7000</v>
      </c>
      <c r="D197" s="104">
        <v>5000</v>
      </c>
      <c r="E197" s="104">
        <v>450000</v>
      </c>
      <c r="F197" s="104">
        <v>88000</v>
      </c>
      <c r="G197" s="104">
        <v>110000</v>
      </c>
      <c r="H197" s="104">
        <v>2587000</v>
      </c>
    </row>
    <row r="198" spans="1:14">
      <c r="A198" s="112" t="s">
        <v>174</v>
      </c>
      <c r="B198" s="105">
        <v>82000</v>
      </c>
      <c r="C198" s="9">
        <v>6000</v>
      </c>
      <c r="D198" s="13" t="s">
        <v>191</v>
      </c>
      <c r="E198" s="9">
        <v>13000</v>
      </c>
      <c r="F198" s="9">
        <v>15000</v>
      </c>
      <c r="G198" s="9">
        <v>8000</v>
      </c>
      <c r="H198" s="9">
        <v>39000</v>
      </c>
    </row>
    <row r="199" spans="1:14">
      <c r="A199" s="112" t="s">
        <v>175</v>
      </c>
      <c r="B199" s="105">
        <v>1538000</v>
      </c>
      <c r="C199" s="13" t="s">
        <v>220</v>
      </c>
      <c r="D199" s="13" t="s">
        <v>220</v>
      </c>
      <c r="E199" s="9">
        <v>65000</v>
      </c>
      <c r="F199" s="9">
        <v>35000</v>
      </c>
      <c r="G199" s="9">
        <v>48000</v>
      </c>
      <c r="H199" s="9">
        <v>1389000</v>
      </c>
    </row>
    <row r="200" spans="1:14">
      <c r="A200" s="112" t="s">
        <v>176</v>
      </c>
      <c r="B200" s="110">
        <v>1626000</v>
      </c>
      <c r="C200" s="40" t="s">
        <v>220</v>
      </c>
      <c r="D200" s="21">
        <v>3000</v>
      </c>
      <c r="E200" s="21">
        <v>371000</v>
      </c>
      <c r="F200" s="21">
        <v>39000</v>
      </c>
      <c r="G200" s="21">
        <v>54000</v>
      </c>
      <c r="H200" s="21">
        <v>1159000</v>
      </c>
    </row>
    <row r="201" spans="1:14">
      <c r="A201" s="344" t="s">
        <v>224</v>
      </c>
      <c r="B201" s="344"/>
      <c r="C201" s="344"/>
      <c r="D201" s="344"/>
      <c r="E201" s="344"/>
      <c r="F201" s="344"/>
      <c r="G201" s="344"/>
      <c r="H201" s="344"/>
      <c r="I201" s="344"/>
    </row>
    <row r="202" spans="1:14" ht="13.2" customHeight="1">
      <c r="A202" s="338" t="s">
        <v>407</v>
      </c>
      <c r="B202" s="338"/>
      <c r="C202" s="338"/>
      <c r="D202" s="338"/>
      <c r="E202" s="338"/>
      <c r="F202" s="338"/>
      <c r="G202" s="338"/>
      <c r="H202" s="338"/>
      <c r="I202" s="338"/>
    </row>
    <row r="203" spans="1:14">
      <c r="A203" s="338"/>
      <c r="B203" s="338"/>
      <c r="C203" s="338"/>
      <c r="D203" s="338"/>
      <c r="E203" s="338"/>
      <c r="F203" s="338"/>
      <c r="G203" s="338"/>
      <c r="H203" s="338"/>
      <c r="I203" s="338"/>
    </row>
    <row r="204" spans="1:14">
      <c r="A204" s="338"/>
      <c r="B204" s="338"/>
      <c r="C204" s="338"/>
      <c r="D204" s="338"/>
      <c r="E204" s="338"/>
      <c r="F204" s="338"/>
      <c r="G204" s="338"/>
      <c r="H204" s="338"/>
      <c r="I204" s="338"/>
    </row>
    <row r="205" spans="1:14">
      <c r="A205" s="338"/>
      <c r="B205" s="338"/>
      <c r="C205" s="338"/>
      <c r="D205" s="338"/>
      <c r="E205" s="338"/>
      <c r="F205" s="338"/>
      <c r="G205" s="338"/>
      <c r="H205" s="338"/>
      <c r="I205" s="338"/>
    </row>
    <row r="206" spans="1:14">
      <c r="A206" s="338"/>
      <c r="B206" s="338"/>
      <c r="C206" s="338"/>
      <c r="D206" s="338"/>
      <c r="E206" s="338"/>
      <c r="F206" s="338"/>
      <c r="G206" s="338"/>
      <c r="H206" s="338"/>
      <c r="I206" s="338"/>
    </row>
    <row r="207" spans="1:14">
      <c r="A207" s="338"/>
      <c r="B207" s="338"/>
      <c r="C207" s="338"/>
      <c r="D207" s="338"/>
      <c r="E207" s="338"/>
      <c r="F207" s="338"/>
      <c r="G207" s="338"/>
      <c r="H207" s="338"/>
      <c r="I207" s="338"/>
    </row>
    <row r="208" spans="1:14">
      <c r="A208" s="338"/>
      <c r="B208" s="338"/>
      <c r="C208" s="338"/>
      <c r="D208" s="338"/>
      <c r="E208" s="338"/>
      <c r="F208" s="338"/>
      <c r="G208" s="338"/>
      <c r="H208" s="338"/>
      <c r="I208" s="338"/>
    </row>
    <row r="209" spans="1:9">
      <c r="A209" s="338"/>
      <c r="B209" s="338"/>
      <c r="C209" s="338"/>
      <c r="D209" s="338"/>
      <c r="E209" s="338"/>
      <c r="F209" s="338"/>
      <c r="G209" s="338"/>
      <c r="H209" s="338"/>
      <c r="I209" s="338"/>
    </row>
    <row r="210" spans="1:9">
      <c r="A210" s="338"/>
      <c r="B210" s="338"/>
      <c r="C210" s="338"/>
      <c r="D210" s="338"/>
      <c r="E210" s="338"/>
      <c r="F210" s="338"/>
      <c r="G210" s="338"/>
      <c r="H210" s="338"/>
      <c r="I210" s="338"/>
    </row>
    <row r="211" spans="1:9">
      <c r="A211" s="338"/>
      <c r="B211" s="338"/>
      <c r="C211" s="338"/>
      <c r="D211" s="338"/>
      <c r="E211" s="338"/>
      <c r="F211" s="338"/>
      <c r="G211" s="338"/>
      <c r="H211" s="338"/>
      <c r="I211" s="338"/>
    </row>
  </sheetData>
  <mergeCells count="6">
    <mergeCell ref="A202:I211"/>
    <mergeCell ref="A1:I1"/>
    <mergeCell ref="A3:A4"/>
    <mergeCell ref="B3:B4"/>
    <mergeCell ref="C3:H3"/>
    <mergeCell ref="A201:I201"/>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9B99-602B-4C4E-B043-DB71C0C9A69B}">
  <dimension ref="A1:K42"/>
  <sheetViews>
    <sheetView topLeftCell="A4" workbookViewId="0">
      <selection activeCell="G10" sqref="G10:H15"/>
    </sheetView>
  </sheetViews>
  <sheetFormatPr defaultRowHeight="13.2"/>
  <cols>
    <col min="1" max="1" width="67.77734375" bestFit="1" customWidth="1"/>
    <col min="2" max="2" width="14.6640625" customWidth="1"/>
    <col min="3" max="3" width="68.33203125" bestFit="1" customWidth="1"/>
    <col min="4" max="4" width="17.44140625" customWidth="1"/>
    <col min="7" max="7" width="36.44140625" bestFit="1" customWidth="1"/>
    <col min="8" max="8" width="18.109375" customWidth="1"/>
    <col min="9" max="9" width="41.6640625" bestFit="1" customWidth="1"/>
    <col min="10" max="10" width="17.7773437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0.76119402985074625</v>
      </c>
      <c r="C3" s="285" t="s">
        <v>67</v>
      </c>
      <c r="D3">
        <v>3.4877694859038098E-2</v>
      </c>
      <c r="G3" s="285" t="s">
        <v>68</v>
      </c>
      <c r="H3" s="263">
        <v>84000</v>
      </c>
      <c r="I3" s="285" t="s">
        <v>69</v>
      </c>
      <c r="J3" s="296">
        <f>11530.1869654233</f>
        <v>11530.1869654233</v>
      </c>
    </row>
    <row r="4" spans="1:11">
      <c r="C4" s="285" t="s">
        <v>70</v>
      </c>
      <c r="D4">
        <v>0.203876451077944</v>
      </c>
      <c r="G4" t="s">
        <v>71</v>
      </c>
      <c r="H4" s="263">
        <v>88504</v>
      </c>
      <c r="I4" s="285" t="s">
        <v>72</v>
      </c>
      <c r="J4" s="296">
        <v>84656</v>
      </c>
    </row>
    <row r="5" spans="1:11">
      <c r="A5" s="285" t="s">
        <v>73</v>
      </c>
      <c r="B5">
        <v>0.6576797385620915</v>
      </c>
      <c r="C5" s="285" t="s">
        <v>74</v>
      </c>
      <c r="D5">
        <v>0.115740740740741</v>
      </c>
      <c r="H5" s="263"/>
      <c r="I5" s="285" t="s">
        <v>75</v>
      </c>
      <c r="J5" s="296">
        <f>48690</f>
        <v>48690</v>
      </c>
      <c r="K5" s="285" t="s">
        <v>105</v>
      </c>
    </row>
    <row r="6" spans="1:11">
      <c r="A6" t="s">
        <v>76</v>
      </c>
      <c r="C6" t="s">
        <v>77</v>
      </c>
      <c r="G6" s="290" t="s">
        <v>78</v>
      </c>
      <c r="H6" s="263">
        <f>SUM(H3:H4)</f>
        <v>172504</v>
      </c>
      <c r="I6" s="290" t="s">
        <v>78</v>
      </c>
      <c r="J6" s="296">
        <f>SUM(J3:J5)</f>
        <v>144876.18696542329</v>
      </c>
    </row>
    <row r="7" spans="1:11">
      <c r="A7" t="s">
        <v>79</v>
      </c>
      <c r="B7">
        <v>0.5660403050108932</v>
      </c>
      <c r="C7" t="s">
        <v>79</v>
      </c>
      <c r="D7">
        <v>0</v>
      </c>
    </row>
    <row r="8" spans="1:11">
      <c r="A8" t="s">
        <v>80</v>
      </c>
      <c r="B8">
        <v>0</v>
      </c>
      <c r="C8" t="s">
        <v>80</v>
      </c>
      <c r="D8">
        <f>43.4027777777778%</f>
        <v>0.43402777777777801</v>
      </c>
    </row>
    <row r="9" spans="1:11">
      <c r="A9" t="s">
        <v>81</v>
      </c>
      <c r="B9">
        <v>9.1026688453159046E-2</v>
      </c>
      <c r="C9" t="s">
        <v>81</v>
      </c>
      <c r="D9">
        <v>0</v>
      </c>
    </row>
    <row r="10" spans="1:11">
      <c r="A10" t="s">
        <v>82</v>
      </c>
      <c r="B10">
        <v>3.4041394335511985E-3</v>
      </c>
      <c r="C10" t="s">
        <v>82</v>
      </c>
      <c r="D10">
        <v>0</v>
      </c>
      <c r="G10" s="290" t="s">
        <v>53</v>
      </c>
      <c r="H10" s="263">
        <f>H6-J6</f>
        <v>27627.813034576713</v>
      </c>
    </row>
    <row r="11" spans="1:11">
      <c r="A11" t="s">
        <v>83</v>
      </c>
      <c r="B11">
        <v>0</v>
      </c>
      <c r="C11" t="s">
        <v>83</v>
      </c>
      <c r="D11">
        <f>12.4455337690632%</f>
        <v>0.124455337690632</v>
      </c>
      <c r="G11" s="290" t="s">
        <v>55</v>
      </c>
      <c r="H11">
        <f>ABS(H6/J6)</f>
        <v>1.1906994766584413</v>
      </c>
    </row>
    <row r="12" spans="1:11">
      <c r="A12" t="s">
        <v>84</v>
      </c>
      <c r="B12">
        <v>9.1026688453159046E-2</v>
      </c>
      <c r="C12" t="s">
        <v>84</v>
      </c>
      <c r="D12">
        <v>0</v>
      </c>
      <c r="G12" s="290" t="s">
        <v>56</v>
      </c>
      <c r="H12" s="296">
        <f>PV(0.04,4,,-H6)</f>
        <v>147457.14216939179</v>
      </c>
      <c r="I12" s="285" t="s">
        <v>85</v>
      </c>
    </row>
    <row r="13" spans="1:11">
      <c r="A13" t="s">
        <v>86</v>
      </c>
      <c r="B13">
        <v>2.3148148148148147E-3</v>
      </c>
      <c r="C13" t="s">
        <v>86</v>
      </c>
      <c r="D13">
        <v>0</v>
      </c>
      <c r="G13" s="290" t="s">
        <v>57</v>
      </c>
      <c r="H13" s="296">
        <f>PV(0.04,4,,-J6)</f>
        <v>123840.77179844995</v>
      </c>
    </row>
    <row r="14" spans="1:11">
      <c r="A14" t="s">
        <v>87</v>
      </c>
      <c r="B14">
        <v>0.66700708061002179</v>
      </c>
      <c r="C14" t="s">
        <v>87</v>
      </c>
      <c r="D14">
        <v>0</v>
      </c>
      <c r="G14" s="290" t="s">
        <v>58</v>
      </c>
      <c r="H14" s="296">
        <f>H12-H13</f>
        <v>23616.370370941848</v>
      </c>
    </row>
    <row r="15" spans="1:11">
      <c r="A15" t="s">
        <v>88</v>
      </c>
      <c r="B15">
        <v>2.0765250544662311E-2</v>
      </c>
      <c r="C15" t="s">
        <v>88</v>
      </c>
      <c r="D15">
        <v>0</v>
      </c>
      <c r="G15" s="290" t="s">
        <v>59</v>
      </c>
      <c r="H15">
        <f>ABS(H10/J6)</f>
        <v>0.19069947665844128</v>
      </c>
    </row>
    <row r="16" spans="1:11">
      <c r="A16" t="s">
        <v>89</v>
      </c>
      <c r="B16">
        <v>0.89045479302832242</v>
      </c>
      <c r="C16" t="s">
        <v>89</v>
      </c>
      <c r="D16">
        <v>0</v>
      </c>
    </row>
    <row r="17" spans="1:4">
      <c r="A17" t="s">
        <v>90</v>
      </c>
      <c r="B17">
        <v>0</v>
      </c>
      <c r="C17" t="s">
        <v>90</v>
      </c>
      <c r="D17">
        <f>10.9545206971678%</f>
        <v>0.10954520697167799</v>
      </c>
    </row>
    <row r="18" spans="1:4">
      <c r="A18" t="s">
        <v>91</v>
      </c>
      <c r="B18">
        <v>5.7568966849547945E-2</v>
      </c>
      <c r="C18" t="s">
        <v>91</v>
      </c>
      <c r="D18">
        <v>0</v>
      </c>
    </row>
    <row r="19" spans="1:4">
      <c r="A19" t="s">
        <v>92</v>
      </c>
      <c r="B19">
        <v>0.22618035700486824</v>
      </c>
      <c r="C19" t="s">
        <v>92</v>
      </c>
      <c r="D19">
        <v>0</v>
      </c>
    </row>
    <row r="20" spans="1:4">
      <c r="A20" t="s">
        <v>93</v>
      </c>
      <c r="C20" t="s">
        <v>94</v>
      </c>
    </row>
    <row r="21" spans="1:4">
      <c r="A21" s="285" t="s">
        <v>106</v>
      </c>
      <c r="B21">
        <v>9.2594210638739458</v>
      </c>
      <c r="C21" s="285" t="s">
        <v>106</v>
      </c>
      <c r="D21">
        <v>3.50380148248298</v>
      </c>
    </row>
    <row r="22" spans="1:4">
      <c r="A22" t="s">
        <v>79</v>
      </c>
      <c r="B22">
        <v>4.1855989814640395</v>
      </c>
      <c r="C22" t="s">
        <v>79</v>
      </c>
      <c r="D22">
        <v>1.7248905255356599</v>
      </c>
    </row>
    <row r="23" spans="1:4">
      <c r="A23" t="s">
        <v>80</v>
      </c>
      <c r="B23">
        <v>5.5052158282510133</v>
      </c>
      <c r="C23" t="s">
        <v>80</v>
      </c>
      <c r="D23">
        <v>1.3669035734622399</v>
      </c>
    </row>
    <row r="24" spans="1:4">
      <c r="A24" t="s">
        <v>95</v>
      </c>
      <c r="B24">
        <v>0.55044934640522869</v>
      </c>
      <c r="C24" t="s">
        <v>96</v>
      </c>
      <c r="D24">
        <v>0.44955065359477098</v>
      </c>
    </row>
    <row r="25" spans="1:4">
      <c r="A25" t="s">
        <v>97</v>
      </c>
      <c r="B25">
        <v>1.23E-2</v>
      </c>
      <c r="C25" t="s">
        <v>98</v>
      </c>
      <c r="D25">
        <v>0</v>
      </c>
    </row>
    <row r="26" spans="1:4">
      <c r="A26" t="s">
        <v>99</v>
      </c>
      <c r="C26" t="s">
        <v>100</v>
      </c>
    </row>
    <row r="27" spans="1:4">
      <c r="A27" t="s">
        <v>101</v>
      </c>
      <c r="B27">
        <v>1.06E-2</v>
      </c>
      <c r="C27" t="s">
        <v>101</v>
      </c>
      <c r="D27">
        <v>0</v>
      </c>
    </row>
    <row r="28" spans="1:4">
      <c r="A28" t="s">
        <v>79</v>
      </c>
      <c r="B28">
        <v>1.2800000000000001E-2</v>
      </c>
      <c r="C28" t="s">
        <v>79</v>
      </c>
      <c r="D28">
        <v>0</v>
      </c>
    </row>
    <row r="29" spans="1:4">
      <c r="A29" t="s">
        <v>80</v>
      </c>
      <c r="B29">
        <v>7.7999999999999996E-3</v>
      </c>
      <c r="C29" t="s">
        <v>80</v>
      </c>
      <c r="D29">
        <v>0</v>
      </c>
    </row>
    <row r="30" spans="1:4">
      <c r="A30" t="s">
        <v>102</v>
      </c>
      <c r="B30">
        <v>1.06E-2</v>
      </c>
      <c r="C30" t="s">
        <v>102</v>
      </c>
      <c r="D30">
        <v>0</v>
      </c>
    </row>
    <row r="31" spans="1:4">
      <c r="A31" t="s">
        <v>91</v>
      </c>
      <c r="B31">
        <v>1.7399999999999999E-2</v>
      </c>
      <c r="C31" t="s">
        <v>91</v>
      </c>
      <c r="D31">
        <v>0</v>
      </c>
    </row>
    <row r="32" spans="1:4">
      <c r="A32" t="s">
        <v>92</v>
      </c>
      <c r="B32">
        <v>9.1000000000000004E-3</v>
      </c>
      <c r="C32" t="s">
        <v>92</v>
      </c>
      <c r="D32">
        <v>0</v>
      </c>
    </row>
    <row r="33" spans="1:4">
      <c r="A33" s="290" t="s">
        <v>78</v>
      </c>
      <c r="B33">
        <f>SUM(B3:B32)</f>
        <v>23.615948072610063</v>
      </c>
      <c r="C33" s="290" t="s">
        <v>78</v>
      </c>
      <c r="D33">
        <f>SUM(D3:D32)</f>
        <v>8.0676694441934629</v>
      </c>
    </row>
    <row r="35" spans="1:4">
      <c r="A35" s="320" t="s">
        <v>103</v>
      </c>
      <c r="B35" s="320"/>
      <c r="C35" s="320"/>
      <c r="D35" s="320"/>
    </row>
    <row r="37" spans="1:4">
      <c r="A37" s="290" t="s">
        <v>53</v>
      </c>
      <c r="B37">
        <f>B33-D33</f>
        <v>15.5482786284166</v>
      </c>
    </row>
    <row r="38" spans="1:4">
      <c r="A38" s="290" t="s">
        <v>54</v>
      </c>
      <c r="B38">
        <f>ABS(B33/D33)</f>
        <v>2.9272329804745718</v>
      </c>
    </row>
    <row r="39" spans="1:4">
      <c r="A39" s="290" t="s">
        <v>56</v>
      </c>
      <c r="B39" s="296">
        <f>PV(0.04,4,,-B33)</f>
        <v>20.187011387607456</v>
      </c>
    </row>
    <row r="40" spans="1:4">
      <c r="A40" s="290" t="s">
        <v>57</v>
      </c>
      <c r="B40" s="296">
        <f>PV(0.04,4,,-D33)</f>
        <v>6.8962776527390295</v>
      </c>
    </row>
    <row r="41" spans="1:4">
      <c r="A41" s="290" t="s">
        <v>58</v>
      </c>
      <c r="B41" s="296">
        <f>B39-B40</f>
        <v>13.290733734868425</v>
      </c>
    </row>
    <row r="42" spans="1:4">
      <c r="A42" s="290" t="s">
        <v>59</v>
      </c>
      <c r="B42">
        <f>ABS(B37/D33)</f>
        <v>1.9272329804745718</v>
      </c>
    </row>
  </sheetData>
  <mergeCells count="3">
    <mergeCell ref="A1:D1"/>
    <mergeCell ref="G1:K1"/>
    <mergeCell ref="A35:D3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N38"/>
  <sheetViews>
    <sheetView topLeftCell="A22" workbookViewId="0">
      <selection activeCell="A5" sqref="A5:N3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1" t="s">
        <v>389</v>
      </c>
      <c r="B1" s="321"/>
      <c r="C1" s="321"/>
      <c r="D1" s="321"/>
      <c r="E1" s="321"/>
      <c r="F1" s="321"/>
      <c r="G1" s="321"/>
      <c r="H1" s="321"/>
      <c r="I1" s="321"/>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12.45" customHeight="1">
      <c r="A5" s="130" t="s">
        <v>371</v>
      </c>
      <c r="B5" s="107">
        <v>915000</v>
      </c>
      <c r="C5" s="19" t="s">
        <v>220</v>
      </c>
      <c r="D5" s="19" t="s">
        <v>220</v>
      </c>
      <c r="E5" s="7">
        <v>18000</v>
      </c>
      <c r="F5" s="19" t="s">
        <v>191</v>
      </c>
      <c r="G5" s="7">
        <v>887000</v>
      </c>
      <c r="H5" s="7">
        <v>3000</v>
      </c>
      <c r="I5" s="204" t="e">
        <f>C5/$B5</f>
        <v>#VALUE!</v>
      </c>
      <c r="J5" s="204" t="e">
        <f t="shared" ref="J5:N5" si="0">D5/$B5</f>
        <v>#VALUE!</v>
      </c>
      <c r="K5" s="204">
        <f t="shared" si="0"/>
        <v>1.9672131147540985E-2</v>
      </c>
      <c r="L5" s="204" t="e">
        <f t="shared" si="0"/>
        <v>#VALUE!</v>
      </c>
      <c r="M5" s="204">
        <f t="shared" si="0"/>
        <v>0.96939890710382515</v>
      </c>
      <c r="N5" s="204">
        <f t="shared" si="0"/>
        <v>3.2786885245901639E-3</v>
      </c>
    </row>
    <row r="6" spans="1:14" ht="24.75" customHeight="1">
      <c r="A6" s="130" t="s">
        <v>372</v>
      </c>
      <c r="B6" s="106">
        <v>1088000</v>
      </c>
      <c r="C6" s="11">
        <v>224000</v>
      </c>
      <c r="D6" s="11">
        <v>116000</v>
      </c>
      <c r="E6" s="11">
        <v>237000</v>
      </c>
      <c r="F6" s="11">
        <v>237000</v>
      </c>
      <c r="G6" s="11">
        <v>3000</v>
      </c>
      <c r="H6" s="11">
        <v>271000</v>
      </c>
      <c r="I6" s="204">
        <f t="shared" ref="I6:I38" si="1">C6/$B6</f>
        <v>0.20588235294117646</v>
      </c>
      <c r="J6" s="204">
        <f t="shared" ref="J6:J38" si="2">D6/$B6</f>
        <v>0.10661764705882353</v>
      </c>
      <c r="K6" s="204">
        <f t="shared" ref="K6:K38" si="3">E6/$B6</f>
        <v>0.21783088235294118</v>
      </c>
      <c r="L6" s="204">
        <f t="shared" ref="L6:L38" si="4">F6/$B6</f>
        <v>0.21783088235294118</v>
      </c>
      <c r="M6" s="204">
        <f t="shared" ref="M6:M38" si="5">G6/$B6</f>
        <v>2.7573529411764708E-3</v>
      </c>
      <c r="N6" s="204">
        <f t="shared" ref="N6:N38" si="6">H6/$B6</f>
        <v>0.24908088235294118</v>
      </c>
    </row>
    <row r="7" spans="1:14" ht="12.45" customHeight="1">
      <c r="A7" s="130" t="s">
        <v>373</v>
      </c>
      <c r="B7" s="105">
        <v>248000</v>
      </c>
      <c r="C7" s="9">
        <v>12000</v>
      </c>
      <c r="D7" s="9">
        <v>85000</v>
      </c>
      <c r="E7" s="9">
        <v>61000</v>
      </c>
      <c r="F7" s="9">
        <v>30000</v>
      </c>
      <c r="G7" s="13" t="s">
        <v>220</v>
      </c>
      <c r="H7" s="9">
        <v>59000</v>
      </c>
      <c r="I7" s="204">
        <f t="shared" si="1"/>
        <v>4.8387096774193547E-2</v>
      </c>
      <c r="J7" s="204">
        <f t="shared" si="2"/>
        <v>0.34274193548387094</v>
      </c>
      <c r="K7" s="204">
        <f t="shared" si="3"/>
        <v>0.24596774193548387</v>
      </c>
      <c r="L7" s="204">
        <f t="shared" si="4"/>
        <v>0.12096774193548387</v>
      </c>
      <c r="M7" s="204" t="e">
        <f t="shared" si="5"/>
        <v>#VALUE!</v>
      </c>
      <c r="N7" s="204">
        <f t="shared" si="6"/>
        <v>0.23790322580645162</v>
      </c>
    </row>
    <row r="8" spans="1:14" ht="12.45" customHeight="1">
      <c r="A8" s="129" t="s">
        <v>176</v>
      </c>
      <c r="B8" s="105">
        <v>34349000</v>
      </c>
      <c r="C8" s="9">
        <v>357000</v>
      </c>
      <c r="D8" s="9">
        <v>451000</v>
      </c>
      <c r="E8" s="9">
        <v>18923000</v>
      </c>
      <c r="F8" s="9">
        <v>1491000</v>
      </c>
      <c r="G8" s="9">
        <v>5068000</v>
      </c>
      <c r="H8" s="9">
        <v>8058000</v>
      </c>
      <c r="I8" s="204">
        <f t="shared" si="1"/>
        <v>1.0393315671489708E-2</v>
      </c>
      <c r="J8" s="204">
        <f t="shared" si="2"/>
        <v>1.3129931002358148E-2</v>
      </c>
      <c r="K8" s="204">
        <f t="shared" si="3"/>
        <v>0.55090395644705814</v>
      </c>
      <c r="L8" s="204">
        <f t="shared" si="4"/>
        <v>4.3407377216221725E-2</v>
      </c>
      <c r="M8" s="204">
        <f t="shared" si="5"/>
        <v>0.14754432443448134</v>
      </c>
      <c r="N8" s="204">
        <f t="shared" si="6"/>
        <v>0.23459198229933914</v>
      </c>
    </row>
    <row r="9" spans="1:14" ht="12.45" customHeight="1">
      <c r="A9" s="130" t="s">
        <v>374</v>
      </c>
      <c r="B9" s="105">
        <v>4985000</v>
      </c>
      <c r="C9" s="9">
        <v>62000</v>
      </c>
      <c r="D9" s="9">
        <v>73000</v>
      </c>
      <c r="E9" s="9">
        <v>4122000</v>
      </c>
      <c r="F9" s="9">
        <v>189000</v>
      </c>
      <c r="G9" s="9">
        <v>32000</v>
      </c>
      <c r="H9" s="9">
        <v>506000</v>
      </c>
      <c r="I9" s="204">
        <f t="shared" si="1"/>
        <v>1.2437311935807422E-2</v>
      </c>
      <c r="J9" s="204">
        <f t="shared" si="2"/>
        <v>1.4643931795386159E-2</v>
      </c>
      <c r="K9" s="204">
        <f t="shared" si="3"/>
        <v>0.82688064192577737</v>
      </c>
      <c r="L9" s="204">
        <f t="shared" si="4"/>
        <v>3.7913741223671013E-2</v>
      </c>
      <c r="M9" s="204">
        <f t="shared" si="5"/>
        <v>6.4192577733199595E-3</v>
      </c>
      <c r="N9" s="204">
        <f t="shared" si="6"/>
        <v>0.10150451354062187</v>
      </c>
    </row>
    <row r="10" spans="1:14" ht="24.75" customHeight="1">
      <c r="A10" s="130" t="s">
        <v>406</v>
      </c>
      <c r="B10" s="106">
        <v>7868000</v>
      </c>
      <c r="C10" s="11">
        <v>128000</v>
      </c>
      <c r="D10" s="11">
        <v>130000</v>
      </c>
      <c r="E10" s="11">
        <v>6042000</v>
      </c>
      <c r="F10" s="11">
        <v>385000</v>
      </c>
      <c r="G10" s="11">
        <v>94000</v>
      </c>
      <c r="H10" s="11">
        <v>1088000</v>
      </c>
      <c r="I10" s="204">
        <f t="shared" si="1"/>
        <v>1.626842907981698E-2</v>
      </c>
      <c r="J10" s="204">
        <f t="shared" si="2"/>
        <v>1.652262328418912E-2</v>
      </c>
      <c r="K10" s="204">
        <f t="shared" si="3"/>
        <v>0.76792069140823593</v>
      </c>
      <c r="L10" s="204">
        <f t="shared" si="4"/>
        <v>4.8932384341637013E-2</v>
      </c>
      <c r="M10" s="204">
        <f t="shared" si="5"/>
        <v>1.1947127605490595E-2</v>
      </c>
      <c r="N10" s="204">
        <f t="shared" si="6"/>
        <v>0.13828164717844432</v>
      </c>
    </row>
    <row r="11" spans="1:14" ht="12.45" customHeight="1">
      <c r="A11" s="130" t="s">
        <v>376</v>
      </c>
      <c r="B11" s="105">
        <v>3919000</v>
      </c>
      <c r="C11" s="13" t="s">
        <v>220</v>
      </c>
      <c r="D11" s="13" t="s">
        <v>220</v>
      </c>
      <c r="E11" s="9">
        <v>129000</v>
      </c>
      <c r="F11" s="9">
        <v>45000</v>
      </c>
      <c r="G11" s="9">
        <v>3686000</v>
      </c>
      <c r="H11" s="9">
        <v>59000</v>
      </c>
      <c r="I11" s="204" t="e">
        <f t="shared" si="1"/>
        <v>#VALUE!</v>
      </c>
      <c r="J11" s="204" t="e">
        <f t="shared" si="2"/>
        <v>#VALUE!</v>
      </c>
      <c r="K11" s="204">
        <f t="shared" si="3"/>
        <v>3.29165603470273E-2</v>
      </c>
      <c r="L11" s="204">
        <f t="shared" si="4"/>
        <v>1.1482521051288594E-2</v>
      </c>
      <c r="M11" s="204">
        <f t="shared" si="5"/>
        <v>0.94054605766777244</v>
      </c>
      <c r="N11" s="204">
        <f t="shared" si="6"/>
        <v>1.5054860933911712E-2</v>
      </c>
    </row>
    <row r="12" spans="1:14" ht="24.75" customHeight="1">
      <c r="A12" s="130" t="s">
        <v>377</v>
      </c>
      <c r="B12" s="106">
        <v>559000</v>
      </c>
      <c r="C12" s="16" t="s">
        <v>220</v>
      </c>
      <c r="D12" s="16" t="s">
        <v>220</v>
      </c>
      <c r="E12" s="11">
        <v>37000</v>
      </c>
      <c r="F12" s="11">
        <v>38000</v>
      </c>
      <c r="G12" s="11">
        <v>453000</v>
      </c>
      <c r="H12" s="11">
        <v>30000</v>
      </c>
      <c r="I12" s="204" t="e">
        <f t="shared" si="1"/>
        <v>#VALUE!</v>
      </c>
      <c r="J12" s="204" t="e">
        <f t="shared" si="2"/>
        <v>#VALUE!</v>
      </c>
      <c r="K12" s="204">
        <f t="shared" si="3"/>
        <v>6.6189624329159216E-2</v>
      </c>
      <c r="L12" s="204">
        <f t="shared" si="4"/>
        <v>6.7978533094812166E-2</v>
      </c>
      <c r="M12" s="204">
        <f t="shared" si="5"/>
        <v>0.8103756708407871</v>
      </c>
      <c r="N12" s="204">
        <f t="shared" si="6"/>
        <v>5.3667262969588549E-2</v>
      </c>
    </row>
    <row r="13" spans="1:14" ht="24.75" customHeight="1">
      <c r="A13" s="130" t="s">
        <v>378</v>
      </c>
      <c r="B13" s="106">
        <v>2072000</v>
      </c>
      <c r="C13" s="16" t="s">
        <v>191</v>
      </c>
      <c r="D13" s="16" t="s">
        <v>191</v>
      </c>
      <c r="E13" s="11">
        <v>406000</v>
      </c>
      <c r="F13" s="11">
        <v>66000</v>
      </c>
      <c r="G13" s="11">
        <v>206000</v>
      </c>
      <c r="H13" s="11">
        <v>1388000</v>
      </c>
      <c r="I13" s="204" t="e">
        <f t="shared" si="1"/>
        <v>#VALUE!</v>
      </c>
      <c r="J13" s="204" t="e">
        <f t="shared" si="2"/>
        <v>#VALUE!</v>
      </c>
      <c r="K13" s="204">
        <f t="shared" si="3"/>
        <v>0.19594594594594594</v>
      </c>
      <c r="L13" s="204">
        <f t="shared" si="4"/>
        <v>3.1853281853281852E-2</v>
      </c>
      <c r="M13" s="204">
        <f t="shared" si="5"/>
        <v>9.9420849420849416E-2</v>
      </c>
      <c r="N13" s="204">
        <f t="shared" si="6"/>
        <v>0.66988416988416988</v>
      </c>
    </row>
    <row r="14" spans="1:14" ht="24.75" customHeight="1">
      <c r="A14" s="130" t="s">
        <v>379</v>
      </c>
      <c r="B14" s="106">
        <v>4448000</v>
      </c>
      <c r="C14" s="11">
        <v>16000</v>
      </c>
      <c r="D14" s="11">
        <v>64000</v>
      </c>
      <c r="E14" s="11">
        <v>3742000</v>
      </c>
      <c r="F14" s="11">
        <v>122000</v>
      </c>
      <c r="G14" s="16" t="s">
        <v>191</v>
      </c>
      <c r="H14" s="11">
        <v>483000</v>
      </c>
      <c r="I14" s="204">
        <f t="shared" si="1"/>
        <v>3.5971223021582736E-3</v>
      </c>
      <c r="J14" s="204">
        <f t="shared" si="2"/>
        <v>1.4388489208633094E-2</v>
      </c>
      <c r="K14" s="204">
        <f t="shared" si="3"/>
        <v>0.84127697841726623</v>
      </c>
      <c r="L14" s="204">
        <f t="shared" si="4"/>
        <v>2.7428057553956834E-2</v>
      </c>
      <c r="M14" s="204" t="e">
        <f t="shared" si="5"/>
        <v>#VALUE!</v>
      </c>
      <c r="N14" s="204">
        <f t="shared" si="6"/>
        <v>0.10858812949640288</v>
      </c>
    </row>
    <row r="15" spans="1:14" ht="24.75" customHeight="1">
      <c r="A15" s="130" t="s">
        <v>380</v>
      </c>
      <c r="B15" s="106">
        <v>1408000</v>
      </c>
      <c r="C15" s="11">
        <v>41000</v>
      </c>
      <c r="D15" s="11">
        <v>105000</v>
      </c>
      <c r="E15" s="11">
        <v>381000</v>
      </c>
      <c r="F15" s="11">
        <v>200000</v>
      </c>
      <c r="G15" s="11">
        <v>47000</v>
      </c>
      <c r="H15" s="11">
        <v>634000</v>
      </c>
      <c r="I15" s="204">
        <f t="shared" si="1"/>
        <v>2.911931818181818E-2</v>
      </c>
      <c r="J15" s="204">
        <f t="shared" si="2"/>
        <v>7.4573863636363633E-2</v>
      </c>
      <c r="K15" s="204">
        <f t="shared" si="3"/>
        <v>0.27059659090909088</v>
      </c>
      <c r="L15" s="204">
        <f t="shared" si="4"/>
        <v>0.14204545454545456</v>
      </c>
      <c r="M15" s="204">
        <f t="shared" si="5"/>
        <v>3.3380681818181816E-2</v>
      </c>
      <c r="N15" s="204">
        <f t="shared" si="6"/>
        <v>0.45028409090909088</v>
      </c>
    </row>
    <row r="16" spans="1:14" ht="12.45" customHeight="1">
      <c r="A16" s="130" t="s">
        <v>381</v>
      </c>
      <c r="B16" s="105">
        <v>9089000</v>
      </c>
      <c r="C16" s="9">
        <v>104000</v>
      </c>
      <c r="D16" s="9">
        <v>76000</v>
      </c>
      <c r="E16" s="9">
        <v>4064000</v>
      </c>
      <c r="F16" s="9">
        <v>447000</v>
      </c>
      <c r="G16" s="9">
        <v>529000</v>
      </c>
      <c r="H16" s="9">
        <v>3870000</v>
      </c>
      <c r="I16" s="204">
        <f t="shared" si="1"/>
        <v>1.1442402904609968E-2</v>
      </c>
      <c r="J16" s="204">
        <f t="shared" si="2"/>
        <v>8.3617559687534388E-3</v>
      </c>
      <c r="K16" s="204">
        <f t="shared" si="3"/>
        <v>0.44713389811860493</v>
      </c>
      <c r="L16" s="204">
        <f t="shared" si="4"/>
        <v>4.9180327868852458E-2</v>
      </c>
      <c r="M16" s="204">
        <f t="shared" si="5"/>
        <v>5.8202222466718009E-2</v>
      </c>
      <c r="N16" s="204">
        <f t="shared" si="6"/>
        <v>0.42578941577731322</v>
      </c>
    </row>
    <row r="17" spans="1:14" ht="12.45" customHeight="1">
      <c r="A17" s="125" t="s">
        <v>218</v>
      </c>
      <c r="B17" s="124">
        <v>31688000</v>
      </c>
      <c r="C17" s="119">
        <v>1943000</v>
      </c>
      <c r="D17" s="119">
        <v>958000</v>
      </c>
      <c r="E17" s="119">
        <v>15513000</v>
      </c>
      <c r="F17" s="119">
        <v>2024000</v>
      </c>
      <c r="G17" s="119">
        <v>2967000</v>
      </c>
      <c r="H17" s="119">
        <v>8284000</v>
      </c>
      <c r="I17" s="204">
        <f t="shared" si="1"/>
        <v>6.1316586720525118E-2</v>
      </c>
      <c r="J17" s="204">
        <f t="shared" si="2"/>
        <v>3.0232264579651603E-2</v>
      </c>
      <c r="K17" s="204">
        <f t="shared" si="3"/>
        <v>0.48955440545316842</v>
      </c>
      <c r="L17" s="204">
        <f t="shared" si="4"/>
        <v>6.3872759404190863E-2</v>
      </c>
      <c r="M17" s="204">
        <f t="shared" si="5"/>
        <v>9.3631658672052517E-2</v>
      </c>
      <c r="N17" s="204">
        <f t="shared" si="6"/>
        <v>0.26142388285786416</v>
      </c>
    </row>
    <row r="18" spans="1:14" ht="12.45" customHeight="1">
      <c r="A18" s="120" t="s">
        <v>174</v>
      </c>
      <c r="B18" s="105">
        <v>4438000</v>
      </c>
      <c r="C18" s="9">
        <v>1458000</v>
      </c>
      <c r="D18" s="9">
        <v>507000</v>
      </c>
      <c r="E18" s="9">
        <v>1028000</v>
      </c>
      <c r="F18" s="9">
        <v>793000</v>
      </c>
      <c r="G18" s="9">
        <v>77000</v>
      </c>
      <c r="H18" s="9">
        <v>575000</v>
      </c>
      <c r="I18" s="204">
        <f t="shared" si="1"/>
        <v>0.32852636322667866</v>
      </c>
      <c r="J18" s="204">
        <f t="shared" si="2"/>
        <v>0.1142406489409644</v>
      </c>
      <c r="K18" s="204">
        <f t="shared" si="3"/>
        <v>0.2316358720144209</v>
      </c>
      <c r="L18" s="204">
        <f t="shared" si="4"/>
        <v>0.17868409193330329</v>
      </c>
      <c r="M18" s="204">
        <f t="shared" si="5"/>
        <v>1.7350157728706624E-2</v>
      </c>
      <c r="N18" s="204">
        <f t="shared" si="6"/>
        <v>0.1295628661559261</v>
      </c>
    </row>
    <row r="19" spans="1:14" ht="24.75" customHeight="1">
      <c r="A19" s="121" t="s">
        <v>227</v>
      </c>
      <c r="B19" s="106">
        <v>295000</v>
      </c>
      <c r="C19" s="11">
        <v>5000</v>
      </c>
      <c r="D19" s="11">
        <v>3000</v>
      </c>
      <c r="E19" s="11">
        <v>69000</v>
      </c>
      <c r="F19" s="11">
        <v>158000</v>
      </c>
      <c r="G19" s="11">
        <v>13000</v>
      </c>
      <c r="H19" s="11">
        <v>46000</v>
      </c>
      <c r="I19" s="204">
        <f t="shared" si="1"/>
        <v>1.6949152542372881E-2</v>
      </c>
      <c r="J19" s="204">
        <f t="shared" si="2"/>
        <v>1.0169491525423728E-2</v>
      </c>
      <c r="K19" s="204">
        <f t="shared" si="3"/>
        <v>0.23389830508474577</v>
      </c>
      <c r="L19" s="204">
        <f t="shared" si="4"/>
        <v>0.53559322033898304</v>
      </c>
      <c r="M19" s="204">
        <f t="shared" si="5"/>
        <v>4.4067796610169491E-2</v>
      </c>
      <c r="N19" s="204">
        <f t="shared" si="6"/>
        <v>0.15593220338983052</v>
      </c>
    </row>
    <row r="20" spans="1:14" ht="24.75" customHeight="1">
      <c r="A20" s="122" t="s">
        <v>343</v>
      </c>
      <c r="B20" s="106">
        <v>34000</v>
      </c>
      <c r="C20" s="16" t="s">
        <v>220</v>
      </c>
      <c r="D20" s="16" t="s">
        <v>220</v>
      </c>
      <c r="E20" s="11">
        <v>10000</v>
      </c>
      <c r="F20" s="11">
        <v>16000</v>
      </c>
      <c r="G20" s="16" t="s">
        <v>220</v>
      </c>
      <c r="H20" s="11">
        <v>8000</v>
      </c>
      <c r="I20" s="204" t="e">
        <f t="shared" si="1"/>
        <v>#VALUE!</v>
      </c>
      <c r="J20" s="204" t="e">
        <f t="shared" si="2"/>
        <v>#VALUE!</v>
      </c>
      <c r="K20" s="204">
        <f t="shared" si="3"/>
        <v>0.29411764705882354</v>
      </c>
      <c r="L20" s="204">
        <f t="shared" si="4"/>
        <v>0.47058823529411764</v>
      </c>
      <c r="M20" s="204" t="e">
        <f t="shared" si="5"/>
        <v>#VALUE!</v>
      </c>
      <c r="N20" s="204">
        <f t="shared" si="6"/>
        <v>0.23529411764705882</v>
      </c>
    </row>
    <row r="21" spans="1:14" ht="24.75" customHeight="1">
      <c r="A21" s="122" t="s">
        <v>344</v>
      </c>
      <c r="B21" s="106">
        <v>216000</v>
      </c>
      <c r="C21" s="11">
        <v>4000</v>
      </c>
      <c r="D21" s="11">
        <v>3000</v>
      </c>
      <c r="E21" s="11">
        <v>43000</v>
      </c>
      <c r="F21" s="11">
        <v>127000</v>
      </c>
      <c r="G21" s="11">
        <v>4000</v>
      </c>
      <c r="H21" s="11">
        <v>35000</v>
      </c>
      <c r="I21" s="204">
        <f t="shared" si="1"/>
        <v>1.8518518518518517E-2</v>
      </c>
      <c r="J21" s="204">
        <f t="shared" si="2"/>
        <v>1.3888888888888888E-2</v>
      </c>
      <c r="K21" s="204">
        <f t="shared" si="3"/>
        <v>0.19907407407407407</v>
      </c>
      <c r="L21" s="204">
        <f t="shared" si="4"/>
        <v>0.58796296296296291</v>
      </c>
      <c r="M21" s="204">
        <f t="shared" si="5"/>
        <v>1.8518518518518517E-2</v>
      </c>
      <c r="N21" s="204">
        <f t="shared" si="6"/>
        <v>0.16203703703703703</v>
      </c>
    </row>
    <row r="22" spans="1:14" ht="12.45" customHeight="1">
      <c r="A22" s="185" t="s">
        <v>345</v>
      </c>
      <c r="B22" s="105">
        <v>26000</v>
      </c>
      <c r="C22" s="13" t="s">
        <v>220</v>
      </c>
      <c r="D22" s="13" t="s">
        <v>222</v>
      </c>
      <c r="E22" s="9">
        <v>17000</v>
      </c>
      <c r="F22" s="9">
        <v>6000</v>
      </c>
      <c r="G22" s="13" t="s">
        <v>220</v>
      </c>
      <c r="H22" s="9">
        <v>3000</v>
      </c>
      <c r="I22" s="204" t="e">
        <f t="shared" si="1"/>
        <v>#VALUE!</v>
      </c>
      <c r="J22" s="204" t="e">
        <f t="shared" si="2"/>
        <v>#VALUE!</v>
      </c>
      <c r="K22" s="204">
        <f t="shared" si="3"/>
        <v>0.65384615384615385</v>
      </c>
      <c r="L22" s="204">
        <f t="shared" si="4"/>
        <v>0.23076923076923078</v>
      </c>
      <c r="M22" s="204" t="e">
        <f t="shared" si="5"/>
        <v>#VALUE!</v>
      </c>
      <c r="N22" s="204">
        <f t="shared" si="6"/>
        <v>0.11538461538461539</v>
      </c>
    </row>
    <row r="23" spans="1:14" ht="24.75" customHeight="1">
      <c r="A23" s="122" t="s">
        <v>346</v>
      </c>
      <c r="B23" s="106">
        <v>18000</v>
      </c>
      <c r="C23" s="16" t="s">
        <v>220</v>
      </c>
      <c r="D23" s="16" t="s">
        <v>220</v>
      </c>
      <c r="E23" s="16" t="s">
        <v>220</v>
      </c>
      <c r="F23" s="11">
        <v>9000</v>
      </c>
      <c r="G23" s="11">
        <v>9000</v>
      </c>
      <c r="H23" s="16" t="s">
        <v>220</v>
      </c>
      <c r="I23" s="204" t="e">
        <f t="shared" si="1"/>
        <v>#VALUE!</v>
      </c>
      <c r="J23" s="204" t="e">
        <f t="shared" si="2"/>
        <v>#VALUE!</v>
      </c>
      <c r="K23" s="204" t="e">
        <f t="shared" si="3"/>
        <v>#VALUE!</v>
      </c>
      <c r="L23" s="204">
        <f t="shared" si="4"/>
        <v>0.5</v>
      </c>
      <c r="M23" s="204">
        <f t="shared" si="5"/>
        <v>0.5</v>
      </c>
      <c r="N23" s="204" t="e">
        <f t="shared" si="6"/>
        <v>#VALUE!</v>
      </c>
    </row>
    <row r="24" spans="1:14" ht="24.75" customHeight="1">
      <c r="A24" s="121" t="s">
        <v>228</v>
      </c>
      <c r="B24" s="106">
        <v>2574000</v>
      </c>
      <c r="C24" s="11">
        <v>1380000</v>
      </c>
      <c r="D24" s="11">
        <v>157000</v>
      </c>
      <c r="E24" s="11">
        <v>467000</v>
      </c>
      <c r="F24" s="11">
        <v>268000</v>
      </c>
      <c r="G24" s="11">
        <v>35000</v>
      </c>
      <c r="H24" s="11">
        <v>266000</v>
      </c>
      <c r="I24" s="204">
        <f t="shared" si="1"/>
        <v>0.53613053613053618</v>
      </c>
      <c r="J24" s="204">
        <f t="shared" si="2"/>
        <v>6.0994560994560992E-2</v>
      </c>
      <c r="K24" s="204">
        <f t="shared" si="3"/>
        <v>0.18142968142968144</v>
      </c>
      <c r="L24" s="204">
        <f t="shared" si="4"/>
        <v>0.10411810411810411</v>
      </c>
      <c r="M24" s="204">
        <f t="shared" si="5"/>
        <v>1.3597513597513598E-2</v>
      </c>
      <c r="N24" s="204">
        <f t="shared" si="6"/>
        <v>0.10334110334110334</v>
      </c>
    </row>
    <row r="25" spans="1:14" ht="24.75" customHeight="1">
      <c r="A25" s="122" t="s">
        <v>347</v>
      </c>
      <c r="B25" s="106">
        <v>2438000</v>
      </c>
      <c r="C25" s="11">
        <v>1361000</v>
      </c>
      <c r="D25" s="11">
        <v>139000</v>
      </c>
      <c r="E25" s="11">
        <v>434000</v>
      </c>
      <c r="F25" s="11">
        <v>234000</v>
      </c>
      <c r="G25" s="11">
        <v>24000</v>
      </c>
      <c r="H25" s="11">
        <v>247000</v>
      </c>
      <c r="I25" s="204">
        <f t="shared" si="1"/>
        <v>0.55824446267432326</v>
      </c>
      <c r="J25" s="204">
        <f t="shared" si="2"/>
        <v>5.7013945857260051E-2</v>
      </c>
      <c r="K25" s="204">
        <f t="shared" si="3"/>
        <v>0.17801476620180476</v>
      </c>
      <c r="L25" s="204">
        <f t="shared" si="4"/>
        <v>9.5980311730926984E-2</v>
      </c>
      <c r="M25" s="204">
        <f t="shared" si="5"/>
        <v>9.8441345365053324E-3</v>
      </c>
      <c r="N25" s="204">
        <f t="shared" si="6"/>
        <v>0.10131255127153405</v>
      </c>
    </row>
    <row r="26" spans="1:14" ht="12.45" customHeight="1">
      <c r="A26" s="122" t="s">
        <v>348</v>
      </c>
      <c r="B26" s="105">
        <v>124000</v>
      </c>
      <c r="C26" s="9">
        <v>19000</v>
      </c>
      <c r="D26" s="9">
        <v>18000</v>
      </c>
      <c r="E26" s="9">
        <v>34000</v>
      </c>
      <c r="F26" s="9">
        <v>33000</v>
      </c>
      <c r="G26" s="13" t="s">
        <v>220</v>
      </c>
      <c r="H26" s="9">
        <v>19000</v>
      </c>
      <c r="I26" s="204">
        <f t="shared" si="1"/>
        <v>0.15322580645161291</v>
      </c>
      <c r="J26" s="204">
        <f t="shared" si="2"/>
        <v>0.14516129032258066</v>
      </c>
      <c r="K26" s="204">
        <f t="shared" si="3"/>
        <v>0.27419354838709675</v>
      </c>
      <c r="L26" s="204">
        <f t="shared" si="4"/>
        <v>0.2661290322580645</v>
      </c>
      <c r="M26" s="204" t="e">
        <f t="shared" si="5"/>
        <v>#VALUE!</v>
      </c>
      <c r="N26" s="204">
        <f t="shared" si="6"/>
        <v>0.15322580645161291</v>
      </c>
    </row>
    <row r="27" spans="1:14" ht="24.75" customHeight="1">
      <c r="A27" s="122" t="s">
        <v>349</v>
      </c>
      <c r="B27" s="106">
        <v>11000</v>
      </c>
      <c r="C27" s="16" t="s">
        <v>220</v>
      </c>
      <c r="D27" s="16" t="s">
        <v>220</v>
      </c>
      <c r="E27" s="16" t="s">
        <v>220</v>
      </c>
      <c r="F27" s="11">
        <v>1000</v>
      </c>
      <c r="G27" s="11">
        <v>10000</v>
      </c>
      <c r="H27" s="16" t="s">
        <v>220</v>
      </c>
      <c r="I27" s="204" t="e">
        <f t="shared" si="1"/>
        <v>#VALUE!</v>
      </c>
      <c r="J27" s="204" t="e">
        <f t="shared" si="2"/>
        <v>#VALUE!</v>
      </c>
      <c r="K27" s="204" t="e">
        <f t="shared" si="3"/>
        <v>#VALUE!</v>
      </c>
      <c r="L27" s="204">
        <f t="shared" si="4"/>
        <v>9.0909090909090912E-2</v>
      </c>
      <c r="M27" s="204">
        <f t="shared" si="5"/>
        <v>0.90909090909090906</v>
      </c>
      <c r="N27" s="204" t="e">
        <f t="shared" si="6"/>
        <v>#VALUE!</v>
      </c>
    </row>
    <row r="28" spans="1:14" ht="12.45" customHeight="1">
      <c r="A28" s="185" t="s">
        <v>229</v>
      </c>
      <c r="B28" s="105">
        <v>177000</v>
      </c>
      <c r="C28" s="9">
        <v>5000</v>
      </c>
      <c r="D28" s="9">
        <v>2000</v>
      </c>
      <c r="E28" s="9">
        <v>36000</v>
      </c>
      <c r="F28" s="9">
        <v>77000</v>
      </c>
      <c r="G28" s="9">
        <v>9000</v>
      </c>
      <c r="H28" s="9">
        <v>49000</v>
      </c>
      <c r="I28" s="204">
        <f t="shared" si="1"/>
        <v>2.8248587570621469E-2</v>
      </c>
      <c r="J28" s="204">
        <f t="shared" si="2"/>
        <v>1.1299435028248588E-2</v>
      </c>
      <c r="K28" s="204">
        <f t="shared" si="3"/>
        <v>0.20338983050847459</v>
      </c>
      <c r="L28" s="204">
        <f t="shared" si="4"/>
        <v>0.43502824858757061</v>
      </c>
      <c r="M28" s="204">
        <f t="shared" si="5"/>
        <v>5.0847457627118647E-2</v>
      </c>
      <c r="N28" s="204">
        <f t="shared" si="6"/>
        <v>0.2768361581920904</v>
      </c>
    </row>
    <row r="29" spans="1:14" ht="24.75" customHeight="1">
      <c r="A29" s="122" t="s">
        <v>350</v>
      </c>
      <c r="B29" s="106">
        <v>65000</v>
      </c>
      <c r="C29" s="16" t="s">
        <v>222</v>
      </c>
      <c r="D29" s="16" t="s">
        <v>222</v>
      </c>
      <c r="E29" s="11">
        <v>12000</v>
      </c>
      <c r="F29" s="11">
        <v>26000</v>
      </c>
      <c r="G29" s="16" t="s">
        <v>220</v>
      </c>
      <c r="H29" s="11">
        <v>26000</v>
      </c>
      <c r="I29" s="204" t="e">
        <f t="shared" si="1"/>
        <v>#VALUE!</v>
      </c>
      <c r="J29" s="204" t="e">
        <f t="shared" si="2"/>
        <v>#VALUE!</v>
      </c>
      <c r="K29" s="204">
        <f t="shared" si="3"/>
        <v>0.18461538461538463</v>
      </c>
      <c r="L29" s="204">
        <f t="shared" si="4"/>
        <v>0.4</v>
      </c>
      <c r="M29" s="204" t="e">
        <f t="shared" si="5"/>
        <v>#VALUE!</v>
      </c>
      <c r="N29" s="204">
        <f t="shared" si="6"/>
        <v>0.4</v>
      </c>
    </row>
    <row r="30" spans="1:14" ht="24.75" customHeight="1">
      <c r="A30" s="122" t="s">
        <v>351</v>
      </c>
      <c r="B30" s="106">
        <v>40000</v>
      </c>
      <c r="C30" s="11">
        <v>2000</v>
      </c>
      <c r="D30" s="16" t="s">
        <v>222</v>
      </c>
      <c r="E30" s="11">
        <v>9000</v>
      </c>
      <c r="F30" s="11">
        <v>18000</v>
      </c>
      <c r="G30" s="16" t="s">
        <v>220</v>
      </c>
      <c r="H30" s="11">
        <v>11000</v>
      </c>
      <c r="I30" s="204">
        <f t="shared" si="1"/>
        <v>0.05</v>
      </c>
      <c r="J30" s="204" t="e">
        <f t="shared" si="2"/>
        <v>#VALUE!</v>
      </c>
      <c r="K30" s="204">
        <f t="shared" si="3"/>
        <v>0.22500000000000001</v>
      </c>
      <c r="L30" s="204">
        <f t="shared" si="4"/>
        <v>0.45</v>
      </c>
      <c r="M30" s="204" t="e">
        <f t="shared" si="5"/>
        <v>#VALUE!</v>
      </c>
      <c r="N30" s="204">
        <f t="shared" si="6"/>
        <v>0.27500000000000002</v>
      </c>
    </row>
    <row r="31" spans="1:14" ht="12.45" customHeight="1">
      <c r="A31" s="122" t="s">
        <v>352</v>
      </c>
      <c r="B31" s="105">
        <v>11000</v>
      </c>
      <c r="C31" s="13" t="s">
        <v>220</v>
      </c>
      <c r="D31" s="13" t="s">
        <v>220</v>
      </c>
      <c r="E31" s="13" t="s">
        <v>222</v>
      </c>
      <c r="F31" s="9">
        <v>9000</v>
      </c>
      <c r="G31" s="13" t="s">
        <v>220</v>
      </c>
      <c r="H31" s="13" t="s">
        <v>220</v>
      </c>
      <c r="I31" s="204" t="e">
        <f t="shared" si="1"/>
        <v>#VALUE!</v>
      </c>
      <c r="J31" s="204" t="e">
        <f t="shared" si="2"/>
        <v>#VALUE!</v>
      </c>
      <c r="K31" s="204" t="e">
        <f t="shared" si="3"/>
        <v>#VALUE!</v>
      </c>
      <c r="L31" s="204">
        <f t="shared" si="4"/>
        <v>0.81818181818181823</v>
      </c>
      <c r="M31" s="204" t="e">
        <f t="shared" si="5"/>
        <v>#VALUE!</v>
      </c>
      <c r="N31" s="204" t="e">
        <f t="shared" si="6"/>
        <v>#VALUE!</v>
      </c>
    </row>
    <row r="32" spans="1:14" ht="36.75" customHeight="1">
      <c r="A32" s="122" t="s">
        <v>353</v>
      </c>
      <c r="B32" s="132">
        <v>47000</v>
      </c>
      <c r="C32" s="26" t="s">
        <v>191</v>
      </c>
      <c r="D32" s="26" t="s">
        <v>220</v>
      </c>
      <c r="E32" s="25">
        <v>13000</v>
      </c>
      <c r="F32" s="25">
        <v>20000</v>
      </c>
      <c r="G32" s="26" t="s">
        <v>220</v>
      </c>
      <c r="H32" s="25">
        <v>11000</v>
      </c>
      <c r="I32" s="204" t="e">
        <f t="shared" si="1"/>
        <v>#VALUE!</v>
      </c>
      <c r="J32" s="204" t="e">
        <f t="shared" si="2"/>
        <v>#VALUE!</v>
      </c>
      <c r="K32" s="204">
        <f t="shared" si="3"/>
        <v>0.27659574468085107</v>
      </c>
      <c r="L32" s="204">
        <f t="shared" si="4"/>
        <v>0.42553191489361702</v>
      </c>
      <c r="M32" s="204" t="e">
        <f t="shared" si="5"/>
        <v>#VALUE!</v>
      </c>
      <c r="N32" s="204">
        <f t="shared" si="6"/>
        <v>0.23404255319148937</v>
      </c>
    </row>
    <row r="33" spans="1:14" ht="24.75" customHeight="1">
      <c r="A33" s="122" t="s">
        <v>354</v>
      </c>
      <c r="B33" s="106">
        <v>14000</v>
      </c>
      <c r="C33" s="16" t="s">
        <v>220</v>
      </c>
      <c r="D33" s="16" t="s">
        <v>220</v>
      </c>
      <c r="E33" s="16" t="s">
        <v>220</v>
      </c>
      <c r="F33" s="11">
        <v>4000</v>
      </c>
      <c r="G33" s="11">
        <v>8000</v>
      </c>
      <c r="H33" s="16" t="s">
        <v>220</v>
      </c>
      <c r="I33" s="204" t="e">
        <f t="shared" si="1"/>
        <v>#VALUE!</v>
      </c>
      <c r="J33" s="204" t="e">
        <f t="shared" si="2"/>
        <v>#VALUE!</v>
      </c>
      <c r="K33" s="204" t="e">
        <f t="shared" si="3"/>
        <v>#VALUE!</v>
      </c>
      <c r="L33" s="204">
        <f t="shared" si="4"/>
        <v>0.2857142857142857</v>
      </c>
      <c r="M33" s="204">
        <f t="shared" si="5"/>
        <v>0.5714285714285714</v>
      </c>
      <c r="N33" s="204" t="e">
        <f t="shared" si="6"/>
        <v>#VALUE!</v>
      </c>
    </row>
    <row r="34" spans="1:14" ht="12.45" customHeight="1">
      <c r="A34" s="121" t="s">
        <v>230</v>
      </c>
      <c r="B34" s="105">
        <v>170000</v>
      </c>
      <c r="C34" s="13" t="s">
        <v>191</v>
      </c>
      <c r="D34" s="13" t="s">
        <v>191</v>
      </c>
      <c r="E34" s="9">
        <v>47000</v>
      </c>
      <c r="F34" s="9">
        <v>57000</v>
      </c>
      <c r="G34" s="9">
        <v>11000</v>
      </c>
      <c r="H34" s="9">
        <v>49000</v>
      </c>
      <c r="I34" s="204" t="e">
        <f t="shared" si="1"/>
        <v>#VALUE!</v>
      </c>
      <c r="J34" s="204" t="e">
        <f t="shared" si="2"/>
        <v>#VALUE!</v>
      </c>
      <c r="K34" s="204">
        <f t="shared" si="3"/>
        <v>0.27647058823529413</v>
      </c>
      <c r="L34" s="204">
        <f t="shared" si="4"/>
        <v>0.3352941176470588</v>
      </c>
      <c r="M34" s="204">
        <f t="shared" si="5"/>
        <v>6.4705882352941183E-2</v>
      </c>
      <c r="N34" s="204">
        <f t="shared" si="6"/>
        <v>0.28823529411764703</v>
      </c>
    </row>
    <row r="35" spans="1:14" ht="12.45" customHeight="1">
      <c r="A35" s="122" t="s">
        <v>355</v>
      </c>
      <c r="B35" s="105">
        <v>9000</v>
      </c>
      <c r="C35" s="13" t="s">
        <v>220</v>
      </c>
      <c r="D35" s="13" t="s">
        <v>220</v>
      </c>
      <c r="E35" s="13" t="s">
        <v>191</v>
      </c>
      <c r="F35" s="9">
        <v>3000</v>
      </c>
      <c r="G35" s="13" t="s">
        <v>220</v>
      </c>
      <c r="H35" s="13" t="s">
        <v>191</v>
      </c>
      <c r="I35" s="204" t="e">
        <f t="shared" si="1"/>
        <v>#VALUE!</v>
      </c>
      <c r="J35" s="204" t="e">
        <f t="shared" si="2"/>
        <v>#VALUE!</v>
      </c>
      <c r="K35" s="204" t="e">
        <f t="shared" si="3"/>
        <v>#VALUE!</v>
      </c>
      <c r="L35" s="204">
        <f t="shared" si="4"/>
        <v>0.33333333333333331</v>
      </c>
      <c r="M35" s="204" t="e">
        <f t="shared" si="5"/>
        <v>#VALUE!</v>
      </c>
      <c r="N35" s="204" t="e">
        <f t="shared" si="6"/>
        <v>#VALUE!</v>
      </c>
    </row>
    <row r="36" spans="1:14" ht="12.45" customHeight="1">
      <c r="A36" s="122" t="s">
        <v>356</v>
      </c>
      <c r="B36" s="105">
        <v>10000</v>
      </c>
      <c r="C36" s="13" t="s">
        <v>220</v>
      </c>
      <c r="D36" s="13" t="s">
        <v>220</v>
      </c>
      <c r="E36" s="13" t="s">
        <v>191</v>
      </c>
      <c r="F36" s="13" t="s">
        <v>191</v>
      </c>
      <c r="G36" s="13" t="s">
        <v>220</v>
      </c>
      <c r="H36" s="13" t="s">
        <v>191</v>
      </c>
      <c r="I36" s="204" t="e">
        <f t="shared" si="1"/>
        <v>#VALUE!</v>
      </c>
      <c r="J36" s="204" t="e">
        <f t="shared" si="2"/>
        <v>#VALUE!</v>
      </c>
      <c r="K36" s="204" t="e">
        <f t="shared" si="3"/>
        <v>#VALUE!</v>
      </c>
      <c r="L36" s="204" t="e">
        <f t="shared" si="4"/>
        <v>#VALUE!</v>
      </c>
      <c r="M36" s="204" t="e">
        <f t="shared" si="5"/>
        <v>#VALUE!</v>
      </c>
      <c r="N36" s="204" t="e">
        <f t="shared" si="6"/>
        <v>#VALUE!</v>
      </c>
    </row>
    <row r="37" spans="1:14" ht="12.45" customHeight="1">
      <c r="A37" s="122" t="s">
        <v>357</v>
      </c>
      <c r="B37" s="105">
        <v>38000</v>
      </c>
      <c r="C37" s="13" t="s">
        <v>220</v>
      </c>
      <c r="D37" s="13" t="s">
        <v>220</v>
      </c>
      <c r="E37" s="13" t="s">
        <v>191</v>
      </c>
      <c r="F37" s="9">
        <v>8000</v>
      </c>
      <c r="G37" s="13" t="s">
        <v>220</v>
      </c>
      <c r="H37" s="9">
        <v>15000</v>
      </c>
      <c r="I37" s="204" t="e">
        <f t="shared" si="1"/>
        <v>#VALUE!</v>
      </c>
      <c r="J37" s="204" t="e">
        <f t="shared" si="2"/>
        <v>#VALUE!</v>
      </c>
      <c r="K37" s="204" t="e">
        <f t="shared" si="3"/>
        <v>#VALUE!</v>
      </c>
      <c r="L37" s="204">
        <f t="shared" si="4"/>
        <v>0.21052631578947367</v>
      </c>
      <c r="M37" s="204" t="e">
        <f t="shared" si="5"/>
        <v>#VALUE!</v>
      </c>
      <c r="N37" s="204">
        <f t="shared" si="6"/>
        <v>0.39473684210526316</v>
      </c>
    </row>
    <row r="38" spans="1:14" ht="12.45" customHeight="1">
      <c r="A38" s="122" t="s">
        <v>358</v>
      </c>
      <c r="B38" s="105">
        <v>3000</v>
      </c>
      <c r="C38" s="13" t="s">
        <v>220</v>
      </c>
      <c r="D38" s="13" t="s">
        <v>220</v>
      </c>
      <c r="E38" s="13" t="s">
        <v>191</v>
      </c>
      <c r="F38" s="9">
        <v>2000</v>
      </c>
      <c r="G38" s="13" t="s">
        <v>220</v>
      </c>
      <c r="H38" s="13" t="s">
        <v>222</v>
      </c>
      <c r="I38" s="204" t="e">
        <f t="shared" si="1"/>
        <v>#VALUE!</v>
      </c>
      <c r="J38" s="204" t="e">
        <f t="shared" si="2"/>
        <v>#VALUE!</v>
      </c>
      <c r="K38" s="204" t="e">
        <f t="shared" si="3"/>
        <v>#VALUE!</v>
      </c>
      <c r="L38" s="204">
        <f t="shared" si="4"/>
        <v>0.66666666666666663</v>
      </c>
      <c r="M38" s="204" t="e">
        <f t="shared" si="5"/>
        <v>#VALUE!</v>
      </c>
      <c r="N38" s="204" t="e">
        <f t="shared" si="6"/>
        <v>#VALUE!</v>
      </c>
    </row>
  </sheetData>
  <mergeCells count="4">
    <mergeCell ref="A1:I1"/>
    <mergeCell ref="A3:A4"/>
    <mergeCell ref="B3:B4"/>
    <mergeCell ref="C3:H3"/>
  </mergeCell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38"/>
  <sheetViews>
    <sheetView topLeftCell="A23" workbookViewId="0">
      <selection activeCell="A5" sqref="A5:N3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1" t="s">
        <v>389</v>
      </c>
      <c r="B1" s="321"/>
      <c r="C1" s="321"/>
      <c r="D1" s="321"/>
      <c r="E1" s="321"/>
      <c r="F1" s="321"/>
      <c r="G1" s="321"/>
      <c r="H1" s="321"/>
      <c r="I1" s="321"/>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22" t="s">
        <v>359</v>
      </c>
      <c r="B5" s="142">
        <v>91000</v>
      </c>
      <c r="C5" s="32" t="s">
        <v>191</v>
      </c>
      <c r="D5" s="32" t="s">
        <v>220</v>
      </c>
      <c r="E5" s="29">
        <v>26000</v>
      </c>
      <c r="F5" s="29">
        <v>35000</v>
      </c>
      <c r="G5" s="32" t="s">
        <v>220</v>
      </c>
      <c r="H5" s="29">
        <v>26000</v>
      </c>
      <c r="I5" s="204" t="e">
        <f>C5/$B5</f>
        <v>#VALUE!</v>
      </c>
      <c r="J5" s="204" t="e">
        <f t="shared" ref="J5:N5" si="0">D5/$B5</f>
        <v>#VALUE!</v>
      </c>
      <c r="K5" s="204">
        <f t="shared" si="0"/>
        <v>0.2857142857142857</v>
      </c>
      <c r="L5" s="204">
        <f t="shared" si="0"/>
        <v>0.38461538461538464</v>
      </c>
      <c r="M5" s="204" t="e">
        <f t="shared" si="0"/>
        <v>#VALUE!</v>
      </c>
      <c r="N5" s="204">
        <f t="shared" si="0"/>
        <v>0.2857142857142857</v>
      </c>
    </row>
    <row r="6" spans="1:14" ht="24.75" customHeight="1">
      <c r="A6" s="122" t="s">
        <v>360</v>
      </c>
      <c r="B6" s="106">
        <v>18000</v>
      </c>
      <c r="C6" s="16" t="s">
        <v>220</v>
      </c>
      <c r="D6" s="16" t="s">
        <v>220</v>
      </c>
      <c r="E6" s="16" t="s">
        <v>220</v>
      </c>
      <c r="F6" s="16" t="s">
        <v>191</v>
      </c>
      <c r="G6" s="11">
        <v>11000</v>
      </c>
      <c r="H6" s="16" t="s">
        <v>220</v>
      </c>
      <c r="I6" s="204" t="e">
        <f t="shared" ref="I6:I38" si="1">C6/$B6</f>
        <v>#VALUE!</v>
      </c>
      <c r="J6" s="204" t="e">
        <f t="shared" ref="J6:J38" si="2">D6/$B6</f>
        <v>#VALUE!</v>
      </c>
      <c r="K6" s="204" t="e">
        <f t="shared" ref="K6:K38" si="3">E6/$B6</f>
        <v>#VALUE!</v>
      </c>
      <c r="L6" s="204" t="e">
        <f t="shared" ref="L6:L38" si="4">F6/$B6</f>
        <v>#VALUE!</v>
      </c>
      <c r="M6" s="204">
        <f t="shared" ref="M6:M38" si="5">G6/$B6</f>
        <v>0.61111111111111116</v>
      </c>
      <c r="N6" s="204" t="e">
        <f t="shared" ref="N6:N38" si="6">H6/$B6</f>
        <v>#VALUE!</v>
      </c>
    </row>
    <row r="7" spans="1:14" ht="12.45" customHeight="1">
      <c r="A7" s="121" t="s">
        <v>231</v>
      </c>
      <c r="B7" s="105">
        <v>1222000</v>
      </c>
      <c r="C7" s="9">
        <v>66000</v>
      </c>
      <c r="D7" s="9">
        <v>341000</v>
      </c>
      <c r="E7" s="9">
        <v>409000</v>
      </c>
      <c r="F7" s="9">
        <v>233000</v>
      </c>
      <c r="G7" s="9">
        <v>9000</v>
      </c>
      <c r="H7" s="9">
        <v>165000</v>
      </c>
      <c r="I7" s="204">
        <f t="shared" si="1"/>
        <v>5.4009819967266774E-2</v>
      </c>
      <c r="J7" s="204">
        <f t="shared" si="2"/>
        <v>0.27905073649754503</v>
      </c>
      <c r="K7" s="204">
        <f t="shared" si="3"/>
        <v>0.33469721767594107</v>
      </c>
      <c r="L7" s="204">
        <f t="shared" si="4"/>
        <v>0.190671031096563</v>
      </c>
      <c r="M7" s="204">
        <f t="shared" si="5"/>
        <v>7.3649754500818331E-3</v>
      </c>
      <c r="N7" s="204">
        <f t="shared" si="6"/>
        <v>0.13502454991816695</v>
      </c>
    </row>
    <row r="8" spans="1:14" ht="24.75" customHeight="1">
      <c r="A8" s="122" t="s">
        <v>361</v>
      </c>
      <c r="B8" s="106">
        <v>66000</v>
      </c>
      <c r="C8" s="11">
        <v>5000</v>
      </c>
      <c r="D8" s="11">
        <v>20000</v>
      </c>
      <c r="E8" s="11">
        <v>16000</v>
      </c>
      <c r="F8" s="11">
        <v>19000</v>
      </c>
      <c r="G8" s="16" t="s">
        <v>220</v>
      </c>
      <c r="H8" s="11">
        <v>7000</v>
      </c>
      <c r="I8" s="204">
        <f t="shared" si="1"/>
        <v>7.575757575757576E-2</v>
      </c>
      <c r="J8" s="204">
        <f t="shared" si="2"/>
        <v>0.30303030303030304</v>
      </c>
      <c r="K8" s="204">
        <f t="shared" si="3"/>
        <v>0.24242424242424243</v>
      </c>
      <c r="L8" s="204">
        <f t="shared" si="4"/>
        <v>0.2878787878787879</v>
      </c>
      <c r="M8" s="204" t="e">
        <f t="shared" si="5"/>
        <v>#VALUE!</v>
      </c>
      <c r="N8" s="204">
        <f t="shared" si="6"/>
        <v>0.10606060606060606</v>
      </c>
    </row>
    <row r="9" spans="1:14" ht="12.45" customHeight="1">
      <c r="A9" s="122" t="s">
        <v>362</v>
      </c>
      <c r="B9" s="105">
        <v>53000</v>
      </c>
      <c r="C9" s="9">
        <v>3000</v>
      </c>
      <c r="D9" s="9">
        <v>15000</v>
      </c>
      <c r="E9" s="9">
        <v>13000</v>
      </c>
      <c r="F9" s="9">
        <v>10000</v>
      </c>
      <c r="G9" s="13" t="s">
        <v>220</v>
      </c>
      <c r="H9" s="9">
        <v>12000</v>
      </c>
      <c r="I9" s="204">
        <f t="shared" si="1"/>
        <v>5.6603773584905662E-2</v>
      </c>
      <c r="J9" s="204">
        <f t="shared" si="2"/>
        <v>0.28301886792452829</v>
      </c>
      <c r="K9" s="204">
        <f t="shared" si="3"/>
        <v>0.24528301886792453</v>
      </c>
      <c r="L9" s="204">
        <f t="shared" si="4"/>
        <v>0.18867924528301888</v>
      </c>
      <c r="M9" s="204" t="e">
        <f t="shared" si="5"/>
        <v>#VALUE!</v>
      </c>
      <c r="N9" s="204">
        <f t="shared" si="6"/>
        <v>0.22641509433962265</v>
      </c>
    </row>
    <row r="10" spans="1:14" ht="24.75" customHeight="1">
      <c r="A10" s="122" t="s">
        <v>363</v>
      </c>
      <c r="B10" s="106">
        <v>194000</v>
      </c>
      <c r="C10" s="11">
        <v>2000</v>
      </c>
      <c r="D10" s="11">
        <v>58000</v>
      </c>
      <c r="E10" s="11">
        <v>80000</v>
      </c>
      <c r="F10" s="11">
        <v>24000</v>
      </c>
      <c r="G10" s="16" t="s">
        <v>220</v>
      </c>
      <c r="H10" s="11">
        <v>29000</v>
      </c>
      <c r="I10" s="204">
        <f t="shared" si="1"/>
        <v>1.0309278350515464E-2</v>
      </c>
      <c r="J10" s="204">
        <f t="shared" si="2"/>
        <v>0.29896907216494845</v>
      </c>
      <c r="K10" s="204">
        <f t="shared" si="3"/>
        <v>0.41237113402061853</v>
      </c>
      <c r="L10" s="204">
        <f t="shared" si="4"/>
        <v>0.12371134020618557</v>
      </c>
      <c r="M10" s="204" t="e">
        <f t="shared" si="5"/>
        <v>#VALUE!</v>
      </c>
      <c r="N10" s="204">
        <f t="shared" si="6"/>
        <v>0.14948453608247422</v>
      </c>
    </row>
    <row r="11" spans="1:14" ht="24.75" customHeight="1">
      <c r="A11" s="122" t="s">
        <v>364</v>
      </c>
      <c r="B11" s="106">
        <v>242000</v>
      </c>
      <c r="C11" s="11">
        <v>36000</v>
      </c>
      <c r="D11" s="11">
        <v>70000</v>
      </c>
      <c r="E11" s="11">
        <v>50000</v>
      </c>
      <c r="F11" s="11">
        <v>57000</v>
      </c>
      <c r="G11" s="16" t="s">
        <v>220</v>
      </c>
      <c r="H11" s="11">
        <v>28000</v>
      </c>
      <c r="I11" s="204">
        <f t="shared" si="1"/>
        <v>0.1487603305785124</v>
      </c>
      <c r="J11" s="204">
        <f t="shared" si="2"/>
        <v>0.28925619834710742</v>
      </c>
      <c r="K11" s="204">
        <f t="shared" si="3"/>
        <v>0.20661157024793389</v>
      </c>
      <c r="L11" s="204">
        <f t="shared" si="4"/>
        <v>0.23553719008264462</v>
      </c>
      <c r="M11" s="204" t="e">
        <f t="shared" si="5"/>
        <v>#VALUE!</v>
      </c>
      <c r="N11" s="204">
        <f t="shared" si="6"/>
        <v>0.11570247933884298</v>
      </c>
    </row>
    <row r="12" spans="1:14" ht="12.45" customHeight="1">
      <c r="A12" s="122" t="s">
        <v>365</v>
      </c>
      <c r="B12" s="105">
        <v>62000</v>
      </c>
      <c r="C12" s="9">
        <v>2000</v>
      </c>
      <c r="D12" s="9">
        <v>13000</v>
      </c>
      <c r="E12" s="9">
        <v>30000</v>
      </c>
      <c r="F12" s="9">
        <v>3000</v>
      </c>
      <c r="G12" s="13" t="s">
        <v>220</v>
      </c>
      <c r="H12" s="9">
        <v>15000</v>
      </c>
      <c r="I12" s="204">
        <f t="shared" si="1"/>
        <v>3.2258064516129031E-2</v>
      </c>
      <c r="J12" s="204">
        <f t="shared" si="2"/>
        <v>0.20967741935483872</v>
      </c>
      <c r="K12" s="204">
        <f t="shared" si="3"/>
        <v>0.4838709677419355</v>
      </c>
      <c r="L12" s="204">
        <f t="shared" si="4"/>
        <v>4.8387096774193547E-2</v>
      </c>
      <c r="M12" s="204" t="e">
        <f t="shared" si="5"/>
        <v>#VALUE!</v>
      </c>
      <c r="N12" s="204">
        <f t="shared" si="6"/>
        <v>0.24193548387096775</v>
      </c>
    </row>
    <row r="13" spans="1:14" ht="12.45" customHeight="1">
      <c r="A13" s="122" t="s">
        <v>366</v>
      </c>
      <c r="B13" s="105">
        <v>274000</v>
      </c>
      <c r="C13" s="9">
        <v>4000</v>
      </c>
      <c r="D13" s="9">
        <v>114000</v>
      </c>
      <c r="E13" s="9">
        <v>71000</v>
      </c>
      <c r="F13" s="9">
        <v>51000</v>
      </c>
      <c r="G13" s="9">
        <v>1000</v>
      </c>
      <c r="H13" s="9">
        <v>33000</v>
      </c>
      <c r="I13" s="204">
        <f t="shared" si="1"/>
        <v>1.4598540145985401E-2</v>
      </c>
      <c r="J13" s="204">
        <f t="shared" si="2"/>
        <v>0.41605839416058393</v>
      </c>
      <c r="K13" s="204">
        <f t="shared" si="3"/>
        <v>0.25912408759124089</v>
      </c>
      <c r="L13" s="204">
        <f t="shared" si="4"/>
        <v>0.18613138686131386</v>
      </c>
      <c r="M13" s="204">
        <f t="shared" si="5"/>
        <v>3.6496350364963502E-3</v>
      </c>
      <c r="N13" s="204">
        <f t="shared" si="6"/>
        <v>0.12043795620437957</v>
      </c>
    </row>
    <row r="14" spans="1:14" ht="12.45" customHeight="1">
      <c r="A14" s="122" t="s">
        <v>367</v>
      </c>
      <c r="B14" s="105">
        <v>323000</v>
      </c>
      <c r="C14" s="9">
        <v>14000</v>
      </c>
      <c r="D14" s="9">
        <v>50000</v>
      </c>
      <c r="E14" s="9">
        <v>149000</v>
      </c>
      <c r="F14" s="9">
        <v>68000</v>
      </c>
      <c r="G14" s="13" t="s">
        <v>220</v>
      </c>
      <c r="H14" s="9">
        <v>42000</v>
      </c>
      <c r="I14" s="204">
        <f t="shared" si="1"/>
        <v>4.3343653250773995E-2</v>
      </c>
      <c r="J14" s="204">
        <f t="shared" si="2"/>
        <v>0.15479876160990713</v>
      </c>
      <c r="K14" s="204">
        <f t="shared" si="3"/>
        <v>0.46130030959752322</v>
      </c>
      <c r="L14" s="204">
        <f t="shared" si="4"/>
        <v>0.21052631578947367</v>
      </c>
      <c r="M14" s="204" t="e">
        <f t="shared" si="5"/>
        <v>#VALUE!</v>
      </c>
      <c r="N14" s="204">
        <f t="shared" si="6"/>
        <v>0.13003095975232198</v>
      </c>
    </row>
    <row r="15" spans="1:14" ht="24.75" customHeight="1">
      <c r="A15" s="122" t="s">
        <v>368</v>
      </c>
      <c r="B15" s="106">
        <v>7000</v>
      </c>
      <c r="C15" s="16" t="s">
        <v>220</v>
      </c>
      <c r="D15" s="16" t="s">
        <v>220</v>
      </c>
      <c r="E15" s="16" t="s">
        <v>220</v>
      </c>
      <c r="F15" s="16" t="s">
        <v>220</v>
      </c>
      <c r="G15" s="11">
        <v>4000</v>
      </c>
      <c r="H15" s="16" t="s">
        <v>220</v>
      </c>
      <c r="I15" s="204" t="e">
        <f t="shared" si="1"/>
        <v>#VALUE!</v>
      </c>
      <c r="J15" s="204" t="e">
        <f t="shared" si="2"/>
        <v>#VALUE!</v>
      </c>
      <c r="K15" s="204" t="e">
        <f t="shared" si="3"/>
        <v>#VALUE!</v>
      </c>
      <c r="L15" s="204" t="e">
        <f t="shared" si="4"/>
        <v>#VALUE!</v>
      </c>
      <c r="M15" s="204">
        <f t="shared" si="5"/>
        <v>0.5714285714285714</v>
      </c>
      <c r="N15" s="204" t="e">
        <f t="shared" si="6"/>
        <v>#VALUE!</v>
      </c>
    </row>
    <row r="16" spans="1:14" ht="12.45" customHeight="1">
      <c r="A16" s="120" t="s">
        <v>175</v>
      </c>
      <c r="B16" s="105">
        <v>5031000</v>
      </c>
      <c r="C16" s="9">
        <v>219000</v>
      </c>
      <c r="D16" s="9">
        <v>167000</v>
      </c>
      <c r="E16" s="9">
        <v>978000</v>
      </c>
      <c r="F16" s="9">
        <v>316000</v>
      </c>
      <c r="G16" s="9">
        <v>463000</v>
      </c>
      <c r="H16" s="9">
        <v>2888000</v>
      </c>
      <c r="I16" s="204">
        <f t="shared" si="1"/>
        <v>4.3530113297555156E-2</v>
      </c>
      <c r="J16" s="204">
        <f t="shared" si="2"/>
        <v>3.3194195984893662E-2</v>
      </c>
      <c r="K16" s="204">
        <f t="shared" si="3"/>
        <v>0.19439475253428742</v>
      </c>
      <c r="L16" s="204">
        <f t="shared" si="4"/>
        <v>6.2810574438481412E-2</v>
      </c>
      <c r="M16" s="204">
        <f t="shared" si="5"/>
        <v>9.2029417610812958E-2</v>
      </c>
      <c r="N16" s="204">
        <f t="shared" si="6"/>
        <v>0.57404094613396939</v>
      </c>
    </row>
    <row r="17" spans="1:14" ht="12.45" customHeight="1">
      <c r="A17" s="121" t="s">
        <v>369</v>
      </c>
      <c r="B17" s="105">
        <v>3160000</v>
      </c>
      <c r="C17" s="9">
        <v>28000</v>
      </c>
      <c r="D17" s="9">
        <v>6000</v>
      </c>
      <c r="E17" s="9">
        <v>354000</v>
      </c>
      <c r="F17" s="9">
        <v>130000</v>
      </c>
      <c r="G17" s="9">
        <v>97000</v>
      </c>
      <c r="H17" s="9">
        <v>2544000</v>
      </c>
      <c r="I17" s="204">
        <f t="shared" si="1"/>
        <v>8.8607594936708865E-3</v>
      </c>
      <c r="J17" s="204">
        <f t="shared" si="2"/>
        <v>1.8987341772151898E-3</v>
      </c>
      <c r="K17" s="204">
        <f t="shared" si="3"/>
        <v>0.1120253164556962</v>
      </c>
      <c r="L17" s="204">
        <f t="shared" si="4"/>
        <v>4.1139240506329111E-2</v>
      </c>
      <c r="M17" s="204">
        <f t="shared" si="5"/>
        <v>3.069620253164557E-2</v>
      </c>
      <c r="N17" s="204">
        <f t="shared" si="6"/>
        <v>0.80506329113924047</v>
      </c>
    </row>
    <row r="18" spans="1:14" ht="12.45" customHeight="1">
      <c r="A18" s="121" t="s">
        <v>370</v>
      </c>
      <c r="B18" s="105">
        <v>553000</v>
      </c>
      <c r="C18" s="9">
        <v>34000</v>
      </c>
      <c r="D18" s="9">
        <v>23000</v>
      </c>
      <c r="E18" s="9">
        <v>400000</v>
      </c>
      <c r="F18" s="9">
        <v>13000</v>
      </c>
      <c r="G18" s="13" t="s">
        <v>220</v>
      </c>
      <c r="H18" s="9">
        <v>83000</v>
      </c>
      <c r="I18" s="204">
        <f t="shared" si="1"/>
        <v>6.148282097649186E-2</v>
      </c>
      <c r="J18" s="204">
        <f t="shared" si="2"/>
        <v>4.1591320072332731E-2</v>
      </c>
      <c r="K18" s="204">
        <f t="shared" si="3"/>
        <v>0.72332730560578662</v>
      </c>
      <c r="L18" s="204">
        <f t="shared" si="4"/>
        <v>2.3508137432188065E-2</v>
      </c>
      <c r="M18" s="204" t="e">
        <f t="shared" si="5"/>
        <v>#VALUE!</v>
      </c>
      <c r="N18" s="204">
        <f t="shared" si="6"/>
        <v>0.15009041591320071</v>
      </c>
    </row>
    <row r="19" spans="1:14" ht="12.45" customHeight="1">
      <c r="A19" s="121" t="s">
        <v>371</v>
      </c>
      <c r="B19" s="105">
        <v>377000</v>
      </c>
      <c r="C19" s="13" t="s">
        <v>220</v>
      </c>
      <c r="D19" s="13" t="s">
        <v>220</v>
      </c>
      <c r="E19" s="9">
        <v>9000</v>
      </c>
      <c r="F19" s="13" t="s">
        <v>191</v>
      </c>
      <c r="G19" s="9">
        <v>363000</v>
      </c>
      <c r="H19" s="13" t="s">
        <v>220</v>
      </c>
      <c r="I19" s="204" t="e">
        <f t="shared" si="1"/>
        <v>#VALUE!</v>
      </c>
      <c r="J19" s="204" t="e">
        <f t="shared" si="2"/>
        <v>#VALUE!</v>
      </c>
      <c r="K19" s="204">
        <f t="shared" si="3"/>
        <v>2.3872679045092837E-2</v>
      </c>
      <c r="L19" s="204" t="e">
        <f t="shared" si="4"/>
        <v>#VALUE!</v>
      </c>
      <c r="M19" s="204">
        <f t="shared" si="5"/>
        <v>0.96286472148541113</v>
      </c>
      <c r="N19" s="204" t="e">
        <f t="shared" si="6"/>
        <v>#VALUE!</v>
      </c>
    </row>
    <row r="20" spans="1:14" ht="24.75" customHeight="1">
      <c r="A20" s="121" t="s">
        <v>372</v>
      </c>
      <c r="B20" s="106">
        <v>784000</v>
      </c>
      <c r="C20" s="11">
        <v>147000</v>
      </c>
      <c r="D20" s="11">
        <v>89000</v>
      </c>
      <c r="E20" s="11">
        <v>170000</v>
      </c>
      <c r="F20" s="11">
        <v>151000</v>
      </c>
      <c r="G20" s="16" t="s">
        <v>191</v>
      </c>
      <c r="H20" s="11">
        <v>225000</v>
      </c>
      <c r="I20" s="204">
        <f t="shared" si="1"/>
        <v>0.1875</v>
      </c>
      <c r="J20" s="204">
        <f t="shared" si="2"/>
        <v>0.11352040816326531</v>
      </c>
      <c r="K20" s="204">
        <f t="shared" si="3"/>
        <v>0.21683673469387754</v>
      </c>
      <c r="L20" s="204">
        <f t="shared" si="4"/>
        <v>0.19260204081632654</v>
      </c>
      <c r="M20" s="204" t="e">
        <f t="shared" si="5"/>
        <v>#VALUE!</v>
      </c>
      <c r="N20" s="204">
        <f t="shared" si="6"/>
        <v>0.28698979591836737</v>
      </c>
    </row>
    <row r="21" spans="1:14" ht="12.45" customHeight="1">
      <c r="A21" s="123" t="s">
        <v>373</v>
      </c>
      <c r="B21" s="105">
        <v>157000</v>
      </c>
      <c r="C21" s="9">
        <v>10000</v>
      </c>
      <c r="D21" s="9">
        <v>49000</v>
      </c>
      <c r="E21" s="9">
        <v>45000</v>
      </c>
      <c r="F21" s="9">
        <v>17000</v>
      </c>
      <c r="G21" s="13" t="s">
        <v>220</v>
      </c>
      <c r="H21" s="9">
        <v>35000</v>
      </c>
      <c r="I21" s="204">
        <f t="shared" si="1"/>
        <v>6.3694267515923567E-2</v>
      </c>
      <c r="J21" s="204">
        <f t="shared" si="2"/>
        <v>0.31210191082802546</v>
      </c>
      <c r="K21" s="204">
        <f t="shared" si="3"/>
        <v>0.28662420382165604</v>
      </c>
      <c r="L21" s="204">
        <f t="shared" si="4"/>
        <v>0.10828025477707007</v>
      </c>
      <c r="M21" s="204" t="e">
        <f t="shared" si="5"/>
        <v>#VALUE!</v>
      </c>
      <c r="N21" s="204">
        <f t="shared" si="6"/>
        <v>0.22292993630573249</v>
      </c>
    </row>
    <row r="22" spans="1:14" ht="12.45" customHeight="1">
      <c r="A22" s="120" t="s">
        <v>176</v>
      </c>
      <c r="B22" s="105">
        <v>22219000</v>
      </c>
      <c r="C22" s="9">
        <v>265000</v>
      </c>
      <c r="D22" s="9">
        <v>284000</v>
      </c>
      <c r="E22" s="9">
        <v>13507000</v>
      </c>
      <c r="F22" s="9">
        <v>914000</v>
      </c>
      <c r="G22" s="9">
        <v>2427000</v>
      </c>
      <c r="H22" s="9">
        <v>4821000</v>
      </c>
      <c r="I22" s="204">
        <f t="shared" si="1"/>
        <v>1.1926729375759485E-2</v>
      </c>
      <c r="J22" s="204">
        <f t="shared" si="2"/>
        <v>1.2781853368738468E-2</v>
      </c>
      <c r="K22" s="204">
        <f t="shared" si="3"/>
        <v>0.60790314595616368</v>
      </c>
      <c r="L22" s="204">
        <f t="shared" si="4"/>
        <v>4.1135964714883656E-2</v>
      </c>
      <c r="M22" s="204">
        <f t="shared" si="5"/>
        <v>0.10923083847157838</v>
      </c>
      <c r="N22" s="204">
        <f t="shared" si="6"/>
        <v>0.2169764615869301</v>
      </c>
    </row>
    <row r="23" spans="1:14" ht="12.45" customHeight="1">
      <c r="A23" s="121" t="s">
        <v>374</v>
      </c>
      <c r="B23" s="105">
        <v>2978000</v>
      </c>
      <c r="C23" s="9">
        <v>38000</v>
      </c>
      <c r="D23" s="9">
        <v>45000</v>
      </c>
      <c r="E23" s="9">
        <v>2482000</v>
      </c>
      <c r="F23" s="9">
        <v>94000</v>
      </c>
      <c r="G23" s="9">
        <v>7000</v>
      </c>
      <c r="H23" s="9">
        <v>312000</v>
      </c>
      <c r="I23" s="204">
        <f t="shared" si="1"/>
        <v>1.2760241773002015E-2</v>
      </c>
      <c r="J23" s="204">
        <f t="shared" si="2"/>
        <v>1.5110812625923439E-2</v>
      </c>
      <c r="K23" s="204">
        <f t="shared" si="3"/>
        <v>0.83344526527871055</v>
      </c>
      <c r="L23" s="204">
        <f t="shared" si="4"/>
        <v>3.1564808596373402E-2</v>
      </c>
      <c r="M23" s="204">
        <f t="shared" si="5"/>
        <v>2.3505708529214238E-3</v>
      </c>
      <c r="N23" s="204">
        <f t="shared" si="6"/>
        <v>0.10476830087306917</v>
      </c>
    </row>
    <row r="24" spans="1:14" ht="24.75" customHeight="1">
      <c r="A24" s="121" t="s">
        <v>406</v>
      </c>
      <c r="B24" s="106">
        <v>5231000</v>
      </c>
      <c r="C24" s="11">
        <v>85000</v>
      </c>
      <c r="D24" s="11">
        <v>72000</v>
      </c>
      <c r="E24" s="11">
        <v>4047000</v>
      </c>
      <c r="F24" s="11">
        <v>236000</v>
      </c>
      <c r="G24" s="11">
        <v>75000</v>
      </c>
      <c r="H24" s="11">
        <v>715000</v>
      </c>
      <c r="I24" s="204">
        <f t="shared" si="1"/>
        <v>1.6249283119862359E-2</v>
      </c>
      <c r="J24" s="204">
        <f t="shared" si="2"/>
        <v>1.3764098642706939E-2</v>
      </c>
      <c r="K24" s="204">
        <f t="shared" si="3"/>
        <v>0.77365704454215256</v>
      </c>
      <c r="L24" s="204">
        <f t="shared" si="4"/>
        <v>4.5115656662206079E-2</v>
      </c>
      <c r="M24" s="204">
        <f t="shared" si="5"/>
        <v>1.4337602752819728E-2</v>
      </c>
      <c r="N24" s="204">
        <f t="shared" si="6"/>
        <v>0.13668514624354808</v>
      </c>
    </row>
    <row r="25" spans="1:14" ht="12.45" customHeight="1">
      <c r="A25" s="121" t="s">
        <v>376</v>
      </c>
      <c r="B25" s="105">
        <v>1934000</v>
      </c>
      <c r="C25" s="13" t="s">
        <v>220</v>
      </c>
      <c r="D25" s="13" t="s">
        <v>220</v>
      </c>
      <c r="E25" s="9">
        <v>68000</v>
      </c>
      <c r="F25" s="13" t="s">
        <v>191</v>
      </c>
      <c r="G25" s="9">
        <v>1822000</v>
      </c>
      <c r="H25" s="9">
        <v>27000</v>
      </c>
      <c r="I25" s="204" t="e">
        <f t="shared" si="1"/>
        <v>#VALUE!</v>
      </c>
      <c r="J25" s="204" t="e">
        <f t="shared" si="2"/>
        <v>#VALUE!</v>
      </c>
      <c r="K25" s="204">
        <f t="shared" si="3"/>
        <v>3.5160289555325748E-2</v>
      </c>
      <c r="L25" s="204" t="e">
        <f t="shared" si="4"/>
        <v>#VALUE!</v>
      </c>
      <c r="M25" s="204">
        <f t="shared" si="5"/>
        <v>0.94208893485005174</v>
      </c>
      <c r="N25" s="204">
        <f t="shared" si="6"/>
        <v>1.3960703205791106E-2</v>
      </c>
    </row>
    <row r="26" spans="1:14" ht="24.75" customHeight="1">
      <c r="A26" s="121" t="s">
        <v>377</v>
      </c>
      <c r="B26" s="106">
        <v>79000</v>
      </c>
      <c r="C26" s="16" t="s">
        <v>220</v>
      </c>
      <c r="D26" s="16" t="s">
        <v>220</v>
      </c>
      <c r="E26" s="11">
        <v>9000</v>
      </c>
      <c r="F26" s="16" t="s">
        <v>222</v>
      </c>
      <c r="G26" s="11">
        <v>66000</v>
      </c>
      <c r="H26" s="16" t="s">
        <v>191</v>
      </c>
      <c r="I26" s="204" t="e">
        <f t="shared" si="1"/>
        <v>#VALUE!</v>
      </c>
      <c r="J26" s="204" t="e">
        <f t="shared" si="2"/>
        <v>#VALUE!</v>
      </c>
      <c r="K26" s="204">
        <f t="shared" si="3"/>
        <v>0.11392405063291139</v>
      </c>
      <c r="L26" s="204" t="e">
        <f t="shared" si="4"/>
        <v>#VALUE!</v>
      </c>
      <c r="M26" s="204">
        <f t="shared" si="5"/>
        <v>0.83544303797468356</v>
      </c>
      <c r="N26" s="204" t="e">
        <f t="shared" si="6"/>
        <v>#VALUE!</v>
      </c>
    </row>
    <row r="27" spans="1:14" ht="24.75" customHeight="1">
      <c r="A27" s="121" t="s">
        <v>378</v>
      </c>
      <c r="B27" s="106">
        <v>897000</v>
      </c>
      <c r="C27" s="16" t="s">
        <v>220</v>
      </c>
      <c r="D27" s="16" t="s">
        <v>220</v>
      </c>
      <c r="E27" s="11">
        <v>230000</v>
      </c>
      <c r="F27" s="11">
        <v>39000</v>
      </c>
      <c r="G27" s="11">
        <v>76000</v>
      </c>
      <c r="H27" s="11">
        <v>550000</v>
      </c>
      <c r="I27" s="204" t="e">
        <f t="shared" si="1"/>
        <v>#VALUE!</v>
      </c>
      <c r="J27" s="204" t="e">
        <f t="shared" si="2"/>
        <v>#VALUE!</v>
      </c>
      <c r="K27" s="204">
        <f t="shared" si="3"/>
        <v>0.25641025641025639</v>
      </c>
      <c r="L27" s="204">
        <f t="shared" si="4"/>
        <v>4.3478260869565216E-2</v>
      </c>
      <c r="M27" s="204">
        <f t="shared" si="5"/>
        <v>8.4726867335562991E-2</v>
      </c>
      <c r="N27" s="204">
        <f t="shared" si="6"/>
        <v>0.61315496098104794</v>
      </c>
    </row>
    <row r="28" spans="1:14" ht="24.75" customHeight="1">
      <c r="A28" s="121" t="s">
        <v>379</v>
      </c>
      <c r="B28" s="106">
        <v>3652000</v>
      </c>
      <c r="C28" s="11">
        <v>11000</v>
      </c>
      <c r="D28" s="11">
        <v>52000</v>
      </c>
      <c r="E28" s="11">
        <v>3069000</v>
      </c>
      <c r="F28" s="11">
        <v>96000</v>
      </c>
      <c r="G28" s="16" t="s">
        <v>191</v>
      </c>
      <c r="H28" s="11">
        <v>414000</v>
      </c>
      <c r="I28" s="204">
        <f t="shared" si="1"/>
        <v>3.0120481927710845E-3</v>
      </c>
      <c r="J28" s="204">
        <f t="shared" si="2"/>
        <v>1.4238773274917854E-2</v>
      </c>
      <c r="K28" s="204">
        <f t="shared" si="3"/>
        <v>0.84036144578313254</v>
      </c>
      <c r="L28" s="204">
        <f t="shared" si="4"/>
        <v>2.628696604600219E-2</v>
      </c>
      <c r="M28" s="204" t="e">
        <f t="shared" si="5"/>
        <v>#VALUE!</v>
      </c>
      <c r="N28" s="204">
        <f t="shared" si="6"/>
        <v>0.11336254107338445</v>
      </c>
    </row>
    <row r="29" spans="1:14" ht="24.75" customHeight="1">
      <c r="A29" s="121" t="s">
        <v>380</v>
      </c>
      <c r="B29" s="106">
        <v>1008000</v>
      </c>
      <c r="C29" s="11">
        <v>38000</v>
      </c>
      <c r="D29" s="11">
        <v>58000</v>
      </c>
      <c r="E29" s="11">
        <v>295000</v>
      </c>
      <c r="F29" s="11">
        <v>127000</v>
      </c>
      <c r="G29" s="11">
        <v>26000</v>
      </c>
      <c r="H29" s="11">
        <v>464000</v>
      </c>
      <c r="I29" s="204">
        <f t="shared" si="1"/>
        <v>3.7698412698412696E-2</v>
      </c>
      <c r="J29" s="204">
        <f t="shared" si="2"/>
        <v>5.7539682539682536E-2</v>
      </c>
      <c r="K29" s="204">
        <f t="shared" si="3"/>
        <v>0.29265873015873017</v>
      </c>
      <c r="L29" s="204">
        <f t="shared" si="4"/>
        <v>0.12599206349206349</v>
      </c>
      <c r="M29" s="204">
        <f t="shared" si="5"/>
        <v>2.5793650793650792E-2</v>
      </c>
      <c r="N29" s="204">
        <f t="shared" si="6"/>
        <v>0.46031746031746029</v>
      </c>
    </row>
    <row r="30" spans="1:14" ht="12.45" customHeight="1">
      <c r="A30" s="121" t="s">
        <v>381</v>
      </c>
      <c r="B30" s="105">
        <v>6438000</v>
      </c>
      <c r="C30" s="9">
        <v>89000</v>
      </c>
      <c r="D30" s="9">
        <v>56000</v>
      </c>
      <c r="E30" s="9">
        <v>3306000</v>
      </c>
      <c r="F30" s="9">
        <v>304000</v>
      </c>
      <c r="G30" s="9">
        <v>346000</v>
      </c>
      <c r="H30" s="9">
        <v>2336000</v>
      </c>
      <c r="I30" s="204">
        <f t="shared" si="1"/>
        <v>1.382416899658279E-2</v>
      </c>
      <c r="J30" s="204">
        <f t="shared" si="2"/>
        <v>8.6983535259397334E-3</v>
      </c>
      <c r="K30" s="204">
        <f t="shared" si="3"/>
        <v>0.51351351351351349</v>
      </c>
      <c r="L30" s="204">
        <f t="shared" si="4"/>
        <v>4.7219633426529975E-2</v>
      </c>
      <c r="M30" s="204">
        <f t="shared" si="5"/>
        <v>5.3743398570984778E-2</v>
      </c>
      <c r="N30" s="204">
        <f t="shared" si="6"/>
        <v>0.36284560422491458</v>
      </c>
    </row>
    <row r="31" spans="1:14" ht="12.45" customHeight="1">
      <c r="A31" s="114" t="s">
        <v>219</v>
      </c>
      <c r="B31" s="144">
        <v>14688000</v>
      </c>
      <c r="C31" s="143">
        <v>882000</v>
      </c>
      <c r="D31" s="143">
        <v>465000</v>
      </c>
      <c r="E31" s="143">
        <v>5847000</v>
      </c>
      <c r="F31" s="143">
        <v>1100000</v>
      </c>
      <c r="G31" s="143">
        <v>3042000</v>
      </c>
      <c r="H31" s="143">
        <v>3353000</v>
      </c>
      <c r="I31" s="204">
        <f t="shared" si="1"/>
        <v>6.0049019607843139E-2</v>
      </c>
      <c r="J31" s="204">
        <f t="shared" si="2"/>
        <v>3.1658496732026142E-2</v>
      </c>
      <c r="K31" s="204">
        <f t="shared" si="3"/>
        <v>0.3980800653594771</v>
      </c>
      <c r="L31" s="204">
        <f t="shared" si="4"/>
        <v>7.4891067538126369E-2</v>
      </c>
      <c r="M31" s="204">
        <f t="shared" si="5"/>
        <v>0.20710784313725492</v>
      </c>
      <c r="N31" s="204">
        <f t="shared" si="6"/>
        <v>0.22828159041394336</v>
      </c>
    </row>
    <row r="32" spans="1:14" ht="12.45" customHeight="1">
      <c r="A32" s="115" t="s">
        <v>174</v>
      </c>
      <c r="B32" s="105">
        <v>2411000</v>
      </c>
      <c r="C32" s="9">
        <v>700000</v>
      </c>
      <c r="D32" s="9">
        <v>236000</v>
      </c>
      <c r="E32" s="9">
        <v>494000</v>
      </c>
      <c r="F32" s="9">
        <v>544000</v>
      </c>
      <c r="G32" s="9">
        <v>146000</v>
      </c>
      <c r="H32" s="9">
        <v>291000</v>
      </c>
      <c r="I32" s="204">
        <f t="shared" si="1"/>
        <v>0.29033596018249691</v>
      </c>
      <c r="J32" s="204">
        <f t="shared" si="2"/>
        <v>9.788469514724181E-2</v>
      </c>
      <c r="K32" s="204">
        <f t="shared" si="3"/>
        <v>0.2048942347573621</v>
      </c>
      <c r="L32" s="204">
        <f t="shared" si="4"/>
        <v>0.22563251762754044</v>
      </c>
      <c r="M32" s="204">
        <f t="shared" si="5"/>
        <v>6.0555785980920783E-2</v>
      </c>
      <c r="N32" s="204">
        <f t="shared" si="6"/>
        <v>0.12069680630443799</v>
      </c>
    </row>
    <row r="33" spans="1:14" ht="24.75" customHeight="1">
      <c r="A33" s="116" t="s">
        <v>227</v>
      </c>
      <c r="B33" s="106">
        <v>188000</v>
      </c>
      <c r="C33" s="11">
        <v>3000</v>
      </c>
      <c r="D33" s="11">
        <v>2000</v>
      </c>
      <c r="E33" s="11">
        <v>26000</v>
      </c>
      <c r="F33" s="11">
        <v>115000</v>
      </c>
      <c r="G33" s="11">
        <v>16000</v>
      </c>
      <c r="H33" s="11">
        <v>27000</v>
      </c>
      <c r="I33" s="204">
        <f t="shared" si="1"/>
        <v>1.5957446808510637E-2</v>
      </c>
      <c r="J33" s="204">
        <f t="shared" si="2"/>
        <v>1.0638297872340425E-2</v>
      </c>
      <c r="K33" s="204">
        <f t="shared" si="3"/>
        <v>0.13829787234042554</v>
      </c>
      <c r="L33" s="204">
        <f t="shared" si="4"/>
        <v>0.61170212765957444</v>
      </c>
      <c r="M33" s="204">
        <f t="shared" si="5"/>
        <v>8.5106382978723402E-2</v>
      </c>
      <c r="N33" s="204">
        <f t="shared" si="6"/>
        <v>0.14361702127659576</v>
      </c>
    </row>
    <row r="34" spans="1:14" ht="24.75" customHeight="1">
      <c r="A34" s="117" t="s">
        <v>343</v>
      </c>
      <c r="B34" s="106">
        <v>23000</v>
      </c>
      <c r="C34" s="16" t="s">
        <v>220</v>
      </c>
      <c r="D34" s="16" t="s">
        <v>220</v>
      </c>
      <c r="E34" s="11">
        <v>1000</v>
      </c>
      <c r="F34" s="11">
        <v>18000</v>
      </c>
      <c r="G34" s="16" t="s">
        <v>220</v>
      </c>
      <c r="H34" s="11">
        <v>4000</v>
      </c>
      <c r="I34" s="204" t="e">
        <f t="shared" si="1"/>
        <v>#VALUE!</v>
      </c>
      <c r="J34" s="204" t="e">
        <f t="shared" si="2"/>
        <v>#VALUE!</v>
      </c>
      <c r="K34" s="204">
        <f t="shared" si="3"/>
        <v>4.3478260869565216E-2</v>
      </c>
      <c r="L34" s="204">
        <f t="shared" si="4"/>
        <v>0.78260869565217395</v>
      </c>
      <c r="M34" s="204" t="e">
        <f t="shared" si="5"/>
        <v>#VALUE!</v>
      </c>
      <c r="N34" s="204">
        <f t="shared" si="6"/>
        <v>0.17391304347826086</v>
      </c>
    </row>
    <row r="35" spans="1:14" ht="24.75" customHeight="1">
      <c r="A35" s="117" t="s">
        <v>344</v>
      </c>
      <c r="B35" s="106">
        <v>133000</v>
      </c>
      <c r="C35" s="11">
        <v>3000</v>
      </c>
      <c r="D35" s="11">
        <v>2000</v>
      </c>
      <c r="E35" s="11">
        <v>22000</v>
      </c>
      <c r="F35" s="11">
        <v>86000</v>
      </c>
      <c r="G35" s="11">
        <v>2000</v>
      </c>
      <c r="H35" s="11">
        <v>18000</v>
      </c>
      <c r="I35" s="204">
        <f t="shared" si="1"/>
        <v>2.2556390977443608E-2</v>
      </c>
      <c r="J35" s="204">
        <f t="shared" si="2"/>
        <v>1.5037593984962405E-2</v>
      </c>
      <c r="K35" s="204">
        <f t="shared" si="3"/>
        <v>0.16541353383458646</v>
      </c>
      <c r="L35" s="204">
        <f t="shared" si="4"/>
        <v>0.64661654135338342</v>
      </c>
      <c r="M35" s="204">
        <f t="shared" si="5"/>
        <v>1.5037593984962405E-2</v>
      </c>
      <c r="N35" s="204">
        <f t="shared" si="6"/>
        <v>0.13533834586466165</v>
      </c>
    </row>
    <row r="36" spans="1:14" ht="12.45" customHeight="1">
      <c r="A36" s="186" t="s">
        <v>345</v>
      </c>
      <c r="B36" s="105">
        <v>16000</v>
      </c>
      <c r="C36" s="13" t="s">
        <v>220</v>
      </c>
      <c r="D36" s="13" t="s">
        <v>220</v>
      </c>
      <c r="E36" s="9">
        <v>3000</v>
      </c>
      <c r="F36" s="13" t="s">
        <v>191</v>
      </c>
      <c r="G36" s="13" t="s">
        <v>220</v>
      </c>
      <c r="H36" s="9">
        <v>3000</v>
      </c>
      <c r="I36" s="204" t="e">
        <f t="shared" si="1"/>
        <v>#VALUE!</v>
      </c>
      <c r="J36" s="204" t="e">
        <f t="shared" si="2"/>
        <v>#VALUE!</v>
      </c>
      <c r="K36" s="204">
        <f t="shared" si="3"/>
        <v>0.1875</v>
      </c>
      <c r="L36" s="204" t="e">
        <f t="shared" si="4"/>
        <v>#VALUE!</v>
      </c>
      <c r="M36" s="204" t="e">
        <f t="shared" si="5"/>
        <v>#VALUE!</v>
      </c>
      <c r="N36" s="204">
        <f t="shared" si="6"/>
        <v>0.1875</v>
      </c>
    </row>
    <row r="37" spans="1:14" ht="24.75" customHeight="1">
      <c r="A37" s="117" t="s">
        <v>346</v>
      </c>
      <c r="B37" s="106">
        <v>16000</v>
      </c>
      <c r="C37" s="16" t="s">
        <v>220</v>
      </c>
      <c r="D37" s="16" t="s">
        <v>220</v>
      </c>
      <c r="E37" s="16" t="s">
        <v>220</v>
      </c>
      <c r="F37" s="11">
        <v>1000</v>
      </c>
      <c r="G37" s="11">
        <v>13000</v>
      </c>
      <c r="H37" s="16" t="s">
        <v>220</v>
      </c>
      <c r="I37" s="204" t="e">
        <f t="shared" si="1"/>
        <v>#VALUE!</v>
      </c>
      <c r="J37" s="204" t="e">
        <f t="shared" si="2"/>
        <v>#VALUE!</v>
      </c>
      <c r="K37" s="204" t="e">
        <f t="shared" si="3"/>
        <v>#VALUE!</v>
      </c>
      <c r="L37" s="204">
        <f t="shared" si="4"/>
        <v>6.25E-2</v>
      </c>
      <c r="M37" s="204">
        <f t="shared" si="5"/>
        <v>0.8125</v>
      </c>
      <c r="N37" s="204" t="e">
        <f t="shared" si="6"/>
        <v>#VALUE!</v>
      </c>
    </row>
    <row r="38" spans="1:14" ht="24.75" customHeight="1">
      <c r="A38" s="116" t="s">
        <v>228</v>
      </c>
      <c r="B38" s="106">
        <v>1251000</v>
      </c>
      <c r="C38" s="11">
        <v>645000</v>
      </c>
      <c r="D38" s="11">
        <v>77000</v>
      </c>
      <c r="E38" s="11">
        <v>229000</v>
      </c>
      <c r="F38" s="11">
        <v>169000</v>
      </c>
      <c r="G38" s="11">
        <v>54000</v>
      </c>
      <c r="H38" s="11">
        <v>78000</v>
      </c>
      <c r="I38" s="204">
        <f t="shared" si="1"/>
        <v>0.5155875299760192</v>
      </c>
      <c r="J38" s="204">
        <f t="shared" si="2"/>
        <v>6.1550759392486012E-2</v>
      </c>
      <c r="K38" s="204">
        <f t="shared" si="3"/>
        <v>0.18305355715427657</v>
      </c>
      <c r="L38" s="204">
        <f t="shared" si="4"/>
        <v>0.13509192645883294</v>
      </c>
      <c r="M38" s="204">
        <f t="shared" si="5"/>
        <v>4.3165467625899283E-2</v>
      </c>
      <c r="N38" s="204">
        <f t="shared" si="6"/>
        <v>6.235011990407674E-2</v>
      </c>
    </row>
  </sheetData>
  <mergeCells count="4">
    <mergeCell ref="A1:I1"/>
    <mergeCell ref="A3:A4"/>
    <mergeCell ref="B3:B4"/>
    <mergeCell ref="C3:H3"/>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40"/>
  <sheetViews>
    <sheetView topLeftCell="A21" workbookViewId="0">
      <selection activeCell="A5" sqref="A5:N40"/>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1" t="s">
        <v>389</v>
      </c>
      <c r="B1" s="321"/>
      <c r="C1" s="321"/>
      <c r="D1" s="321"/>
      <c r="E1" s="321"/>
      <c r="F1" s="321"/>
      <c r="G1" s="321"/>
      <c r="H1" s="321"/>
      <c r="I1" s="321"/>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17" t="s">
        <v>347</v>
      </c>
      <c r="B5" s="142">
        <v>1072000</v>
      </c>
      <c r="C5" s="29">
        <v>615000</v>
      </c>
      <c r="D5" s="29">
        <v>65000</v>
      </c>
      <c r="E5" s="29">
        <v>199000</v>
      </c>
      <c r="F5" s="29">
        <v>118000</v>
      </c>
      <c r="G5" s="29">
        <v>9000</v>
      </c>
      <c r="H5" s="29">
        <v>66000</v>
      </c>
      <c r="I5" s="204">
        <f>C5/$B5</f>
        <v>0.57369402985074625</v>
      </c>
      <c r="J5" s="204">
        <f t="shared" ref="J5:N5" si="0">D5/$B5</f>
        <v>6.0634328358208957E-2</v>
      </c>
      <c r="K5" s="204">
        <f t="shared" si="0"/>
        <v>0.18563432835820895</v>
      </c>
      <c r="L5" s="204">
        <f t="shared" si="0"/>
        <v>0.11007462686567164</v>
      </c>
      <c r="M5" s="204">
        <f t="shared" si="0"/>
        <v>8.3955223880597014E-3</v>
      </c>
      <c r="N5" s="204">
        <f t="shared" si="0"/>
        <v>6.1567164179104475E-2</v>
      </c>
    </row>
    <row r="6" spans="1:14" ht="12.45" customHeight="1">
      <c r="A6" s="117" t="s">
        <v>348</v>
      </c>
      <c r="B6" s="105">
        <v>133000</v>
      </c>
      <c r="C6" s="9">
        <v>28000</v>
      </c>
      <c r="D6" s="9">
        <v>11000</v>
      </c>
      <c r="E6" s="9">
        <v>28000</v>
      </c>
      <c r="F6" s="9">
        <v>49000</v>
      </c>
      <c r="G6" s="13" t="s">
        <v>191</v>
      </c>
      <c r="H6" s="9">
        <v>12000</v>
      </c>
      <c r="I6" s="204">
        <f t="shared" ref="I6:I40" si="1">C6/$B6</f>
        <v>0.21052631578947367</v>
      </c>
      <c r="J6" s="204">
        <f t="shared" ref="J6:J40" si="2">D6/$B6</f>
        <v>8.2706766917293228E-2</v>
      </c>
      <c r="K6" s="204">
        <f t="shared" ref="K6:K40" si="3">E6/$B6</f>
        <v>0.21052631578947367</v>
      </c>
      <c r="L6" s="204">
        <f t="shared" ref="L6:L40" si="4">F6/$B6</f>
        <v>0.36842105263157893</v>
      </c>
      <c r="M6" s="204" t="e">
        <f t="shared" ref="M6:M40" si="5">G6/$B6</f>
        <v>#VALUE!</v>
      </c>
      <c r="N6" s="204">
        <f t="shared" ref="N6:N40" si="6">H6/$B6</f>
        <v>9.0225563909774431E-2</v>
      </c>
    </row>
    <row r="7" spans="1:14" ht="24.75" customHeight="1">
      <c r="A7" s="117" t="s">
        <v>349</v>
      </c>
      <c r="B7" s="106">
        <v>46000</v>
      </c>
      <c r="C7" s="16" t="s">
        <v>220</v>
      </c>
      <c r="D7" s="16" t="s">
        <v>220</v>
      </c>
      <c r="E7" s="11">
        <v>1000</v>
      </c>
      <c r="F7" s="16" t="s">
        <v>191</v>
      </c>
      <c r="G7" s="11">
        <v>40000</v>
      </c>
      <c r="H7" s="16" t="s">
        <v>220</v>
      </c>
      <c r="I7" s="204" t="e">
        <f t="shared" si="1"/>
        <v>#VALUE!</v>
      </c>
      <c r="J7" s="204" t="e">
        <f t="shared" si="2"/>
        <v>#VALUE!</v>
      </c>
      <c r="K7" s="204">
        <f t="shared" si="3"/>
        <v>2.1739130434782608E-2</v>
      </c>
      <c r="L7" s="204" t="e">
        <f t="shared" si="4"/>
        <v>#VALUE!</v>
      </c>
      <c r="M7" s="204">
        <f t="shared" si="5"/>
        <v>0.86956521739130432</v>
      </c>
      <c r="N7" s="204" t="e">
        <f t="shared" si="6"/>
        <v>#VALUE!</v>
      </c>
    </row>
    <row r="8" spans="1:14" ht="12.45" customHeight="1">
      <c r="A8" s="186" t="s">
        <v>229</v>
      </c>
      <c r="B8" s="105">
        <v>105000</v>
      </c>
      <c r="C8" s="9">
        <v>1000</v>
      </c>
      <c r="D8" s="9">
        <v>2000</v>
      </c>
      <c r="E8" s="9">
        <v>18000</v>
      </c>
      <c r="F8" s="9">
        <v>51000</v>
      </c>
      <c r="G8" s="9">
        <v>16000</v>
      </c>
      <c r="H8" s="9">
        <v>16000</v>
      </c>
      <c r="I8" s="204">
        <f t="shared" si="1"/>
        <v>9.5238095238095247E-3</v>
      </c>
      <c r="J8" s="204">
        <f t="shared" si="2"/>
        <v>1.9047619047619049E-2</v>
      </c>
      <c r="K8" s="204">
        <f t="shared" si="3"/>
        <v>0.17142857142857143</v>
      </c>
      <c r="L8" s="204">
        <f t="shared" si="4"/>
        <v>0.48571428571428571</v>
      </c>
      <c r="M8" s="204">
        <f t="shared" si="5"/>
        <v>0.15238095238095239</v>
      </c>
      <c r="N8" s="204">
        <f t="shared" si="6"/>
        <v>0.15238095238095239</v>
      </c>
    </row>
    <row r="9" spans="1:14" ht="24.75" customHeight="1">
      <c r="A9" s="117" t="s">
        <v>350</v>
      </c>
      <c r="B9" s="106">
        <v>19000</v>
      </c>
      <c r="C9" s="16" t="s">
        <v>220</v>
      </c>
      <c r="D9" s="16" t="s">
        <v>222</v>
      </c>
      <c r="E9" s="11">
        <v>3000</v>
      </c>
      <c r="F9" s="11">
        <v>10000</v>
      </c>
      <c r="G9" s="16" t="s">
        <v>220</v>
      </c>
      <c r="H9" s="11">
        <v>5000</v>
      </c>
      <c r="I9" s="204" t="e">
        <f t="shared" si="1"/>
        <v>#VALUE!</v>
      </c>
      <c r="J9" s="204" t="e">
        <f t="shared" si="2"/>
        <v>#VALUE!</v>
      </c>
      <c r="K9" s="204">
        <f t="shared" si="3"/>
        <v>0.15789473684210525</v>
      </c>
      <c r="L9" s="204">
        <f t="shared" si="4"/>
        <v>0.52631578947368418</v>
      </c>
      <c r="M9" s="204" t="e">
        <f t="shared" si="5"/>
        <v>#VALUE!</v>
      </c>
      <c r="N9" s="204">
        <f t="shared" si="6"/>
        <v>0.26315789473684209</v>
      </c>
    </row>
    <row r="10" spans="1:14" ht="24.75" customHeight="1">
      <c r="A10" s="117" t="s">
        <v>351</v>
      </c>
      <c r="B10" s="106">
        <v>32000</v>
      </c>
      <c r="C10" s="11">
        <v>1000</v>
      </c>
      <c r="D10" s="16" t="s">
        <v>191</v>
      </c>
      <c r="E10" s="11">
        <v>7000</v>
      </c>
      <c r="F10" s="11">
        <v>18000</v>
      </c>
      <c r="G10" s="16" t="s">
        <v>220</v>
      </c>
      <c r="H10" s="11">
        <v>5000</v>
      </c>
      <c r="I10" s="204">
        <f t="shared" si="1"/>
        <v>3.125E-2</v>
      </c>
      <c r="J10" s="204" t="e">
        <f t="shared" si="2"/>
        <v>#VALUE!</v>
      </c>
      <c r="K10" s="204">
        <f t="shared" si="3"/>
        <v>0.21875</v>
      </c>
      <c r="L10" s="204">
        <f t="shared" si="4"/>
        <v>0.5625</v>
      </c>
      <c r="M10" s="204" t="e">
        <f t="shared" si="5"/>
        <v>#VALUE!</v>
      </c>
      <c r="N10" s="204">
        <f t="shared" si="6"/>
        <v>0.15625</v>
      </c>
    </row>
    <row r="11" spans="1:14" ht="12.45" customHeight="1">
      <c r="A11" s="117" t="s">
        <v>352</v>
      </c>
      <c r="B11" s="105">
        <v>10000</v>
      </c>
      <c r="C11" s="13" t="s">
        <v>220</v>
      </c>
      <c r="D11" s="13" t="s">
        <v>220</v>
      </c>
      <c r="E11" s="13" t="s">
        <v>220</v>
      </c>
      <c r="F11" s="9">
        <v>8000</v>
      </c>
      <c r="G11" s="13" t="s">
        <v>220</v>
      </c>
      <c r="H11" s="13" t="s">
        <v>191</v>
      </c>
      <c r="I11" s="204" t="e">
        <f t="shared" si="1"/>
        <v>#VALUE!</v>
      </c>
      <c r="J11" s="204" t="e">
        <f t="shared" si="2"/>
        <v>#VALUE!</v>
      </c>
      <c r="K11" s="204" t="e">
        <f t="shared" si="3"/>
        <v>#VALUE!</v>
      </c>
      <c r="L11" s="204">
        <f t="shared" si="4"/>
        <v>0.8</v>
      </c>
      <c r="M11" s="204" t="e">
        <f t="shared" si="5"/>
        <v>#VALUE!</v>
      </c>
      <c r="N11" s="204" t="e">
        <f t="shared" si="6"/>
        <v>#VALUE!</v>
      </c>
    </row>
    <row r="12" spans="1:14" ht="36.75" customHeight="1">
      <c r="A12" s="117" t="s">
        <v>353</v>
      </c>
      <c r="B12" s="132">
        <v>25000</v>
      </c>
      <c r="C12" s="26" t="s">
        <v>220</v>
      </c>
      <c r="D12" s="26" t="s">
        <v>220</v>
      </c>
      <c r="E12" s="25">
        <v>7000</v>
      </c>
      <c r="F12" s="25">
        <v>12000</v>
      </c>
      <c r="G12" s="26" t="s">
        <v>220</v>
      </c>
      <c r="H12" s="25">
        <v>5000</v>
      </c>
      <c r="I12" s="204" t="e">
        <f t="shared" si="1"/>
        <v>#VALUE!</v>
      </c>
      <c r="J12" s="204" t="e">
        <f t="shared" si="2"/>
        <v>#VALUE!</v>
      </c>
      <c r="K12" s="204">
        <f t="shared" si="3"/>
        <v>0.28000000000000003</v>
      </c>
      <c r="L12" s="204">
        <f t="shared" si="4"/>
        <v>0.48</v>
      </c>
      <c r="M12" s="204" t="e">
        <f t="shared" si="5"/>
        <v>#VALUE!</v>
      </c>
      <c r="N12" s="204">
        <f t="shared" si="6"/>
        <v>0.2</v>
      </c>
    </row>
    <row r="13" spans="1:14" ht="24.75" customHeight="1">
      <c r="A13" s="117" t="s">
        <v>354</v>
      </c>
      <c r="B13" s="106">
        <v>19000</v>
      </c>
      <c r="C13" s="16" t="s">
        <v>220</v>
      </c>
      <c r="D13" s="16" t="s">
        <v>220</v>
      </c>
      <c r="E13" s="16" t="s">
        <v>220</v>
      </c>
      <c r="F13" s="11">
        <v>3000</v>
      </c>
      <c r="G13" s="11">
        <v>16000</v>
      </c>
      <c r="H13" s="16" t="s">
        <v>220</v>
      </c>
      <c r="I13" s="204" t="e">
        <f t="shared" si="1"/>
        <v>#VALUE!</v>
      </c>
      <c r="J13" s="204" t="e">
        <f t="shared" si="2"/>
        <v>#VALUE!</v>
      </c>
      <c r="K13" s="204" t="e">
        <f t="shared" si="3"/>
        <v>#VALUE!</v>
      </c>
      <c r="L13" s="204">
        <f t="shared" si="4"/>
        <v>0.15789473684210525</v>
      </c>
      <c r="M13" s="204">
        <f t="shared" si="5"/>
        <v>0.84210526315789469</v>
      </c>
      <c r="N13" s="204" t="e">
        <f t="shared" si="6"/>
        <v>#VALUE!</v>
      </c>
    </row>
    <row r="14" spans="1:14" ht="12.45" customHeight="1">
      <c r="A14" s="116" t="s">
        <v>230</v>
      </c>
      <c r="B14" s="105">
        <v>283000</v>
      </c>
      <c r="C14" s="13" t="s">
        <v>191</v>
      </c>
      <c r="D14" s="9">
        <v>4000</v>
      </c>
      <c r="E14" s="9">
        <v>46000</v>
      </c>
      <c r="F14" s="9">
        <v>71000</v>
      </c>
      <c r="G14" s="9">
        <v>48000</v>
      </c>
      <c r="H14" s="9">
        <v>103000</v>
      </c>
      <c r="I14" s="204" t="e">
        <f t="shared" si="1"/>
        <v>#VALUE!</v>
      </c>
      <c r="J14" s="204">
        <f t="shared" si="2"/>
        <v>1.4134275618374558E-2</v>
      </c>
      <c r="K14" s="204">
        <f t="shared" si="3"/>
        <v>0.16254416961130741</v>
      </c>
      <c r="L14" s="204">
        <f t="shared" si="4"/>
        <v>0.25088339222614842</v>
      </c>
      <c r="M14" s="204">
        <f t="shared" si="5"/>
        <v>0.16961130742049471</v>
      </c>
      <c r="N14" s="204">
        <f t="shared" si="6"/>
        <v>0.36395759717314485</v>
      </c>
    </row>
    <row r="15" spans="1:14" ht="12.45" customHeight="1">
      <c r="A15" s="117" t="s">
        <v>355</v>
      </c>
      <c r="B15" s="105">
        <v>23000</v>
      </c>
      <c r="C15" s="13" t="s">
        <v>191</v>
      </c>
      <c r="D15" s="13" t="s">
        <v>222</v>
      </c>
      <c r="E15" s="13" t="s">
        <v>191</v>
      </c>
      <c r="F15" s="9">
        <v>8000</v>
      </c>
      <c r="G15" s="13" t="s">
        <v>220</v>
      </c>
      <c r="H15" s="9">
        <v>3000</v>
      </c>
      <c r="I15" s="204" t="e">
        <f t="shared" si="1"/>
        <v>#VALUE!</v>
      </c>
      <c r="J15" s="204" t="e">
        <f t="shared" si="2"/>
        <v>#VALUE!</v>
      </c>
      <c r="K15" s="204" t="e">
        <f t="shared" si="3"/>
        <v>#VALUE!</v>
      </c>
      <c r="L15" s="204">
        <f t="shared" si="4"/>
        <v>0.34782608695652173</v>
      </c>
      <c r="M15" s="204" t="e">
        <f t="shared" si="5"/>
        <v>#VALUE!</v>
      </c>
      <c r="N15" s="204">
        <f t="shared" si="6"/>
        <v>0.13043478260869565</v>
      </c>
    </row>
    <row r="16" spans="1:14" ht="12.45" customHeight="1">
      <c r="A16" s="117" t="s">
        <v>356</v>
      </c>
      <c r="B16" s="105">
        <v>21000</v>
      </c>
      <c r="C16" s="13" t="s">
        <v>220</v>
      </c>
      <c r="D16" s="13" t="s">
        <v>220</v>
      </c>
      <c r="E16" s="9">
        <v>4000</v>
      </c>
      <c r="F16" s="9">
        <v>7000</v>
      </c>
      <c r="G16" s="13" t="s">
        <v>220</v>
      </c>
      <c r="H16" s="9">
        <v>8000</v>
      </c>
      <c r="I16" s="204" t="e">
        <f t="shared" si="1"/>
        <v>#VALUE!</v>
      </c>
      <c r="J16" s="204" t="e">
        <f t="shared" si="2"/>
        <v>#VALUE!</v>
      </c>
      <c r="K16" s="204">
        <f t="shared" si="3"/>
        <v>0.19047619047619047</v>
      </c>
      <c r="L16" s="204">
        <f t="shared" si="4"/>
        <v>0.33333333333333331</v>
      </c>
      <c r="M16" s="204" t="e">
        <f t="shared" si="5"/>
        <v>#VALUE!</v>
      </c>
      <c r="N16" s="204">
        <f t="shared" si="6"/>
        <v>0.38095238095238093</v>
      </c>
    </row>
    <row r="17" spans="1:14" ht="12.45" customHeight="1">
      <c r="A17" s="117" t="s">
        <v>357</v>
      </c>
      <c r="B17" s="105">
        <v>96000</v>
      </c>
      <c r="C17" s="13" t="s">
        <v>220</v>
      </c>
      <c r="D17" s="13" t="s">
        <v>220</v>
      </c>
      <c r="E17" s="9">
        <v>4000</v>
      </c>
      <c r="F17" s="9">
        <v>10000</v>
      </c>
      <c r="G17" s="9">
        <v>1000</v>
      </c>
      <c r="H17" s="9">
        <v>81000</v>
      </c>
      <c r="I17" s="204" t="e">
        <f t="shared" si="1"/>
        <v>#VALUE!</v>
      </c>
      <c r="J17" s="204" t="e">
        <f t="shared" si="2"/>
        <v>#VALUE!</v>
      </c>
      <c r="K17" s="204">
        <f t="shared" si="3"/>
        <v>4.1666666666666664E-2</v>
      </c>
      <c r="L17" s="204">
        <f t="shared" si="4"/>
        <v>0.10416666666666667</v>
      </c>
      <c r="M17" s="204">
        <f t="shared" si="5"/>
        <v>1.0416666666666666E-2</v>
      </c>
      <c r="N17" s="204">
        <f t="shared" si="6"/>
        <v>0.84375</v>
      </c>
    </row>
    <row r="18" spans="1:14" ht="12.45" customHeight="1">
      <c r="A18" s="117" t="s">
        <v>358</v>
      </c>
      <c r="B18" s="105">
        <v>7000</v>
      </c>
      <c r="C18" s="13" t="s">
        <v>220</v>
      </c>
      <c r="D18" s="13" t="s">
        <v>220</v>
      </c>
      <c r="E18" s="9">
        <v>3000</v>
      </c>
      <c r="F18" s="9">
        <v>4000</v>
      </c>
      <c r="G18" s="13" t="s">
        <v>220</v>
      </c>
      <c r="H18" s="9">
        <v>1000</v>
      </c>
      <c r="I18" s="204" t="e">
        <f t="shared" si="1"/>
        <v>#VALUE!</v>
      </c>
      <c r="J18" s="204" t="e">
        <f t="shared" si="2"/>
        <v>#VALUE!</v>
      </c>
      <c r="K18" s="204">
        <f t="shared" si="3"/>
        <v>0.42857142857142855</v>
      </c>
      <c r="L18" s="204">
        <f t="shared" si="4"/>
        <v>0.5714285714285714</v>
      </c>
      <c r="M18" s="204" t="e">
        <f t="shared" si="5"/>
        <v>#VALUE!</v>
      </c>
      <c r="N18" s="204">
        <f t="shared" si="6"/>
        <v>0.14285714285714285</v>
      </c>
    </row>
    <row r="19" spans="1:14" ht="24.75" customHeight="1">
      <c r="A19" s="117" t="s">
        <v>359</v>
      </c>
      <c r="B19" s="106">
        <v>81000</v>
      </c>
      <c r="C19" s="16" t="s">
        <v>191</v>
      </c>
      <c r="D19" s="11">
        <v>4000</v>
      </c>
      <c r="E19" s="11">
        <v>28000</v>
      </c>
      <c r="F19" s="11">
        <v>37000</v>
      </c>
      <c r="G19" s="16" t="s">
        <v>191</v>
      </c>
      <c r="H19" s="11">
        <v>9000</v>
      </c>
      <c r="I19" s="204" t="e">
        <f t="shared" si="1"/>
        <v>#VALUE!</v>
      </c>
      <c r="J19" s="204">
        <f t="shared" si="2"/>
        <v>4.9382716049382713E-2</v>
      </c>
      <c r="K19" s="204">
        <f t="shared" si="3"/>
        <v>0.34567901234567899</v>
      </c>
      <c r="L19" s="204">
        <f t="shared" si="4"/>
        <v>0.4567901234567901</v>
      </c>
      <c r="M19" s="204" t="e">
        <f t="shared" si="5"/>
        <v>#VALUE!</v>
      </c>
      <c r="N19" s="204">
        <f t="shared" si="6"/>
        <v>0.1111111111111111</v>
      </c>
    </row>
    <row r="20" spans="1:14" ht="24.75" customHeight="1">
      <c r="A20" s="117" t="s">
        <v>360</v>
      </c>
      <c r="B20" s="106">
        <v>55000</v>
      </c>
      <c r="C20" s="16" t="s">
        <v>220</v>
      </c>
      <c r="D20" s="16" t="s">
        <v>220</v>
      </c>
      <c r="E20" s="16" t="s">
        <v>191</v>
      </c>
      <c r="F20" s="11">
        <v>6000</v>
      </c>
      <c r="G20" s="11">
        <v>44000</v>
      </c>
      <c r="H20" s="16" t="s">
        <v>220</v>
      </c>
      <c r="I20" s="204" t="e">
        <f t="shared" si="1"/>
        <v>#VALUE!</v>
      </c>
      <c r="J20" s="204" t="e">
        <f t="shared" si="2"/>
        <v>#VALUE!</v>
      </c>
      <c r="K20" s="204" t="e">
        <f t="shared" si="3"/>
        <v>#VALUE!</v>
      </c>
      <c r="L20" s="204">
        <f t="shared" si="4"/>
        <v>0.10909090909090909</v>
      </c>
      <c r="M20" s="204">
        <f t="shared" si="5"/>
        <v>0.8</v>
      </c>
      <c r="N20" s="204" t="e">
        <f t="shared" si="6"/>
        <v>#VALUE!</v>
      </c>
    </row>
    <row r="21" spans="1:14" ht="12.45" customHeight="1">
      <c r="A21" s="116" t="s">
        <v>231</v>
      </c>
      <c r="B21" s="105">
        <v>584000</v>
      </c>
      <c r="C21" s="9">
        <v>42000</v>
      </c>
      <c r="D21" s="9">
        <v>150000</v>
      </c>
      <c r="E21" s="9">
        <v>174000</v>
      </c>
      <c r="F21" s="9">
        <v>138000</v>
      </c>
      <c r="G21" s="9">
        <v>12000</v>
      </c>
      <c r="H21" s="9">
        <v>68000</v>
      </c>
      <c r="I21" s="204">
        <f t="shared" si="1"/>
        <v>7.1917808219178078E-2</v>
      </c>
      <c r="J21" s="204">
        <f t="shared" si="2"/>
        <v>0.25684931506849318</v>
      </c>
      <c r="K21" s="204">
        <f t="shared" si="3"/>
        <v>0.29794520547945208</v>
      </c>
      <c r="L21" s="204">
        <f t="shared" si="4"/>
        <v>0.2363013698630137</v>
      </c>
      <c r="M21" s="204">
        <f t="shared" si="5"/>
        <v>2.0547945205479451E-2</v>
      </c>
      <c r="N21" s="204">
        <f t="shared" si="6"/>
        <v>0.11643835616438356</v>
      </c>
    </row>
    <row r="22" spans="1:14" ht="24.75" customHeight="1">
      <c r="A22" s="117" t="s">
        <v>361</v>
      </c>
      <c r="B22" s="106">
        <v>53000</v>
      </c>
      <c r="C22" s="11">
        <v>2000</v>
      </c>
      <c r="D22" s="11">
        <v>11000</v>
      </c>
      <c r="E22" s="11">
        <v>14000</v>
      </c>
      <c r="F22" s="11">
        <v>21000</v>
      </c>
      <c r="G22" s="16" t="s">
        <v>220</v>
      </c>
      <c r="H22" s="11">
        <v>4000</v>
      </c>
      <c r="I22" s="204">
        <f t="shared" si="1"/>
        <v>3.7735849056603772E-2</v>
      </c>
      <c r="J22" s="204">
        <f t="shared" si="2"/>
        <v>0.20754716981132076</v>
      </c>
      <c r="K22" s="204">
        <f t="shared" si="3"/>
        <v>0.26415094339622641</v>
      </c>
      <c r="L22" s="204">
        <f t="shared" si="4"/>
        <v>0.39622641509433965</v>
      </c>
      <c r="M22" s="204" t="e">
        <f t="shared" si="5"/>
        <v>#VALUE!</v>
      </c>
      <c r="N22" s="204">
        <f t="shared" si="6"/>
        <v>7.5471698113207544E-2</v>
      </c>
    </row>
    <row r="23" spans="1:14" ht="12.45" customHeight="1">
      <c r="A23" s="117" t="s">
        <v>362</v>
      </c>
      <c r="B23" s="105">
        <v>18000</v>
      </c>
      <c r="C23" s="13" t="s">
        <v>191</v>
      </c>
      <c r="D23" s="9">
        <v>3000</v>
      </c>
      <c r="E23" s="9">
        <v>7000</v>
      </c>
      <c r="F23" s="9">
        <v>4000</v>
      </c>
      <c r="G23" s="13" t="s">
        <v>220</v>
      </c>
      <c r="H23" s="9">
        <v>3000</v>
      </c>
      <c r="I23" s="204" t="e">
        <f t="shared" si="1"/>
        <v>#VALUE!</v>
      </c>
      <c r="J23" s="204">
        <f t="shared" si="2"/>
        <v>0.16666666666666666</v>
      </c>
      <c r="K23" s="204">
        <f t="shared" si="3"/>
        <v>0.3888888888888889</v>
      </c>
      <c r="L23" s="204">
        <f t="shared" si="4"/>
        <v>0.22222222222222221</v>
      </c>
      <c r="M23" s="204" t="e">
        <f t="shared" si="5"/>
        <v>#VALUE!</v>
      </c>
      <c r="N23" s="204">
        <f t="shared" si="6"/>
        <v>0.16666666666666666</v>
      </c>
    </row>
    <row r="24" spans="1:14" ht="24.75" customHeight="1">
      <c r="A24" s="117" t="s">
        <v>363</v>
      </c>
      <c r="B24" s="106">
        <v>98000</v>
      </c>
      <c r="C24" s="11">
        <v>1000</v>
      </c>
      <c r="D24" s="11">
        <v>34000</v>
      </c>
      <c r="E24" s="11">
        <v>33000</v>
      </c>
      <c r="F24" s="11">
        <v>13000</v>
      </c>
      <c r="G24" s="16" t="s">
        <v>220</v>
      </c>
      <c r="H24" s="11">
        <v>17000</v>
      </c>
      <c r="I24" s="204">
        <f t="shared" si="1"/>
        <v>1.020408163265306E-2</v>
      </c>
      <c r="J24" s="204">
        <f t="shared" si="2"/>
        <v>0.34693877551020408</v>
      </c>
      <c r="K24" s="204">
        <f t="shared" si="3"/>
        <v>0.33673469387755101</v>
      </c>
      <c r="L24" s="204">
        <f t="shared" si="4"/>
        <v>0.1326530612244898</v>
      </c>
      <c r="M24" s="204" t="e">
        <f t="shared" si="5"/>
        <v>#VALUE!</v>
      </c>
      <c r="N24" s="204">
        <f t="shared" si="6"/>
        <v>0.17346938775510204</v>
      </c>
    </row>
    <row r="25" spans="1:14" ht="24.75" customHeight="1">
      <c r="A25" s="117" t="s">
        <v>364</v>
      </c>
      <c r="B25" s="106">
        <v>124000</v>
      </c>
      <c r="C25" s="11">
        <v>22000</v>
      </c>
      <c r="D25" s="11">
        <v>35000</v>
      </c>
      <c r="E25" s="11">
        <v>26000</v>
      </c>
      <c r="F25" s="11">
        <v>32000</v>
      </c>
      <c r="G25" s="16" t="s">
        <v>220</v>
      </c>
      <c r="H25" s="11">
        <v>9000</v>
      </c>
      <c r="I25" s="204">
        <f t="shared" si="1"/>
        <v>0.17741935483870969</v>
      </c>
      <c r="J25" s="204">
        <f t="shared" si="2"/>
        <v>0.28225806451612906</v>
      </c>
      <c r="K25" s="204">
        <f t="shared" si="3"/>
        <v>0.20967741935483872</v>
      </c>
      <c r="L25" s="204">
        <f t="shared" si="4"/>
        <v>0.25806451612903225</v>
      </c>
      <c r="M25" s="204" t="e">
        <f t="shared" si="5"/>
        <v>#VALUE!</v>
      </c>
      <c r="N25" s="204">
        <f t="shared" si="6"/>
        <v>7.2580645161290328E-2</v>
      </c>
    </row>
    <row r="26" spans="1:14" ht="12.45" customHeight="1">
      <c r="A26" s="117" t="s">
        <v>365</v>
      </c>
      <c r="B26" s="105">
        <v>33000</v>
      </c>
      <c r="C26" s="9">
        <v>4000</v>
      </c>
      <c r="D26" s="9">
        <v>6000</v>
      </c>
      <c r="E26" s="9">
        <v>15000</v>
      </c>
      <c r="F26" s="9">
        <v>3000</v>
      </c>
      <c r="G26" s="13" t="s">
        <v>220</v>
      </c>
      <c r="H26" s="9">
        <v>5000</v>
      </c>
      <c r="I26" s="204">
        <f t="shared" si="1"/>
        <v>0.12121212121212122</v>
      </c>
      <c r="J26" s="204">
        <f t="shared" si="2"/>
        <v>0.18181818181818182</v>
      </c>
      <c r="K26" s="204">
        <f t="shared" si="3"/>
        <v>0.45454545454545453</v>
      </c>
      <c r="L26" s="204">
        <f t="shared" si="4"/>
        <v>9.0909090909090912E-2</v>
      </c>
      <c r="M26" s="204" t="e">
        <f t="shared" si="5"/>
        <v>#VALUE!</v>
      </c>
      <c r="N26" s="204">
        <f t="shared" si="6"/>
        <v>0.15151515151515152</v>
      </c>
    </row>
    <row r="27" spans="1:14" ht="12.45" customHeight="1">
      <c r="A27" s="117" t="s">
        <v>366</v>
      </c>
      <c r="B27" s="105">
        <v>99000</v>
      </c>
      <c r="C27" s="9">
        <v>2000</v>
      </c>
      <c r="D27" s="9">
        <v>39000</v>
      </c>
      <c r="E27" s="9">
        <v>22000</v>
      </c>
      <c r="F27" s="9">
        <v>27000</v>
      </c>
      <c r="G27" s="13" t="s">
        <v>220</v>
      </c>
      <c r="H27" s="9">
        <v>10000</v>
      </c>
      <c r="I27" s="204">
        <f t="shared" si="1"/>
        <v>2.0202020202020204E-2</v>
      </c>
      <c r="J27" s="204">
        <f t="shared" si="2"/>
        <v>0.39393939393939392</v>
      </c>
      <c r="K27" s="204">
        <f t="shared" si="3"/>
        <v>0.22222222222222221</v>
      </c>
      <c r="L27" s="204">
        <f t="shared" si="4"/>
        <v>0.27272727272727271</v>
      </c>
      <c r="M27" s="204" t="e">
        <f t="shared" si="5"/>
        <v>#VALUE!</v>
      </c>
      <c r="N27" s="204">
        <f t="shared" si="6"/>
        <v>0.10101010101010101</v>
      </c>
    </row>
    <row r="28" spans="1:14" ht="12.45" customHeight="1">
      <c r="A28" s="117" t="s">
        <v>367</v>
      </c>
      <c r="B28" s="105">
        <v>146000</v>
      </c>
      <c r="C28" s="9">
        <v>9000</v>
      </c>
      <c r="D28" s="9">
        <v>22000</v>
      </c>
      <c r="E28" s="9">
        <v>56000</v>
      </c>
      <c r="F28" s="9">
        <v>37000</v>
      </c>
      <c r="G28" s="13" t="s">
        <v>222</v>
      </c>
      <c r="H28" s="9">
        <v>21000</v>
      </c>
      <c r="I28" s="204">
        <f t="shared" si="1"/>
        <v>6.1643835616438353E-2</v>
      </c>
      <c r="J28" s="204">
        <f t="shared" si="2"/>
        <v>0.15068493150684931</v>
      </c>
      <c r="K28" s="204">
        <f t="shared" si="3"/>
        <v>0.38356164383561642</v>
      </c>
      <c r="L28" s="204">
        <f t="shared" si="4"/>
        <v>0.25342465753424659</v>
      </c>
      <c r="M28" s="204" t="e">
        <f t="shared" si="5"/>
        <v>#VALUE!</v>
      </c>
      <c r="N28" s="204">
        <f t="shared" si="6"/>
        <v>0.14383561643835616</v>
      </c>
    </row>
    <row r="29" spans="1:14" ht="24.75" customHeight="1">
      <c r="A29" s="117" t="s">
        <v>368</v>
      </c>
      <c r="B29" s="106">
        <v>13000</v>
      </c>
      <c r="C29" s="16" t="s">
        <v>220</v>
      </c>
      <c r="D29" s="16" t="s">
        <v>220</v>
      </c>
      <c r="E29" s="16" t="s">
        <v>220</v>
      </c>
      <c r="F29" s="16" t="s">
        <v>191</v>
      </c>
      <c r="G29" s="11">
        <v>11000</v>
      </c>
      <c r="H29" s="16" t="s">
        <v>220</v>
      </c>
      <c r="I29" s="204" t="e">
        <f t="shared" si="1"/>
        <v>#VALUE!</v>
      </c>
      <c r="J29" s="204" t="e">
        <f t="shared" si="2"/>
        <v>#VALUE!</v>
      </c>
      <c r="K29" s="204" t="e">
        <f t="shared" si="3"/>
        <v>#VALUE!</v>
      </c>
      <c r="L29" s="204" t="e">
        <f t="shared" si="4"/>
        <v>#VALUE!</v>
      </c>
      <c r="M29" s="204">
        <f t="shared" si="5"/>
        <v>0.84615384615384615</v>
      </c>
      <c r="N29" s="204" t="e">
        <f t="shared" si="6"/>
        <v>#VALUE!</v>
      </c>
    </row>
    <row r="30" spans="1:14" ht="12.45" customHeight="1">
      <c r="A30" s="115" t="s">
        <v>175</v>
      </c>
      <c r="B30" s="105">
        <v>2578000</v>
      </c>
      <c r="C30" s="9">
        <v>100000</v>
      </c>
      <c r="D30" s="9">
        <v>76000</v>
      </c>
      <c r="E30" s="9">
        <v>561000</v>
      </c>
      <c r="F30" s="9">
        <v>142000</v>
      </c>
      <c r="G30" s="9">
        <v>573000</v>
      </c>
      <c r="H30" s="9">
        <v>1126000</v>
      </c>
      <c r="I30" s="204">
        <f t="shared" si="1"/>
        <v>3.8789759503491075E-2</v>
      </c>
      <c r="J30" s="204">
        <f t="shared" si="2"/>
        <v>2.9480217222653218E-2</v>
      </c>
      <c r="K30" s="204">
        <f t="shared" si="3"/>
        <v>0.21761055081458494</v>
      </c>
      <c r="L30" s="204">
        <f t="shared" si="4"/>
        <v>5.5081458494957332E-2</v>
      </c>
      <c r="M30" s="204">
        <f t="shared" si="5"/>
        <v>0.22226532195500387</v>
      </c>
      <c r="N30" s="204">
        <f t="shared" si="6"/>
        <v>0.43677269200930952</v>
      </c>
    </row>
    <row r="31" spans="1:14" ht="12.45" customHeight="1">
      <c r="A31" s="116" t="s">
        <v>369</v>
      </c>
      <c r="B31" s="105">
        <v>1313000</v>
      </c>
      <c r="C31" s="9">
        <v>3000</v>
      </c>
      <c r="D31" s="9">
        <v>3000</v>
      </c>
      <c r="E31" s="9">
        <v>151000</v>
      </c>
      <c r="F31" s="9">
        <v>55000</v>
      </c>
      <c r="G31" s="9">
        <v>80000</v>
      </c>
      <c r="H31" s="9">
        <v>1021000</v>
      </c>
      <c r="I31" s="204">
        <f t="shared" si="1"/>
        <v>2.284843869002285E-3</v>
      </c>
      <c r="J31" s="204">
        <f t="shared" si="2"/>
        <v>2.284843869002285E-3</v>
      </c>
      <c r="K31" s="204">
        <f t="shared" si="3"/>
        <v>0.115003808073115</v>
      </c>
      <c r="L31" s="204">
        <f t="shared" si="4"/>
        <v>4.1888804265041886E-2</v>
      </c>
      <c r="M31" s="204">
        <f t="shared" si="5"/>
        <v>6.0929169840060929E-2</v>
      </c>
      <c r="N31" s="204">
        <f t="shared" si="6"/>
        <v>0.77760853008377762</v>
      </c>
    </row>
    <row r="32" spans="1:14" ht="12.45" customHeight="1">
      <c r="A32" s="116" t="s">
        <v>370</v>
      </c>
      <c r="B32" s="105">
        <v>417000</v>
      </c>
      <c r="C32" s="9">
        <v>25000</v>
      </c>
      <c r="D32" s="9">
        <v>13000</v>
      </c>
      <c r="E32" s="9">
        <v>327000</v>
      </c>
      <c r="F32" s="9">
        <v>12000</v>
      </c>
      <c r="G32" s="13" t="s">
        <v>191</v>
      </c>
      <c r="H32" s="9">
        <v>39000</v>
      </c>
      <c r="I32" s="204">
        <f t="shared" si="1"/>
        <v>5.9952038369304558E-2</v>
      </c>
      <c r="J32" s="204">
        <f t="shared" si="2"/>
        <v>3.117505995203837E-2</v>
      </c>
      <c r="K32" s="204">
        <f t="shared" si="3"/>
        <v>0.78417266187050361</v>
      </c>
      <c r="L32" s="204">
        <f t="shared" si="4"/>
        <v>2.8776978417266189E-2</v>
      </c>
      <c r="M32" s="204" t="e">
        <f t="shared" si="5"/>
        <v>#VALUE!</v>
      </c>
      <c r="N32" s="204">
        <f t="shared" si="6"/>
        <v>9.3525179856115109E-2</v>
      </c>
    </row>
    <row r="33" spans="1:14" ht="12.45" customHeight="1">
      <c r="A33" s="116" t="s">
        <v>371</v>
      </c>
      <c r="B33" s="105">
        <v>504000</v>
      </c>
      <c r="C33" s="13" t="s">
        <v>220</v>
      </c>
      <c r="D33" s="13" t="s">
        <v>220</v>
      </c>
      <c r="E33" s="9">
        <v>9000</v>
      </c>
      <c r="F33" s="9">
        <v>3000</v>
      </c>
      <c r="G33" s="9">
        <v>490000</v>
      </c>
      <c r="H33" s="13" t="s">
        <v>191</v>
      </c>
      <c r="I33" s="204" t="e">
        <f t="shared" si="1"/>
        <v>#VALUE!</v>
      </c>
      <c r="J33" s="204" t="e">
        <f t="shared" si="2"/>
        <v>#VALUE!</v>
      </c>
      <c r="K33" s="204">
        <f t="shared" si="3"/>
        <v>1.7857142857142856E-2</v>
      </c>
      <c r="L33" s="204">
        <f t="shared" si="4"/>
        <v>5.9523809523809521E-3</v>
      </c>
      <c r="M33" s="204">
        <f t="shared" si="5"/>
        <v>0.97222222222222221</v>
      </c>
      <c r="N33" s="204" t="e">
        <f t="shared" si="6"/>
        <v>#VALUE!</v>
      </c>
    </row>
    <row r="34" spans="1:14" ht="24.75" customHeight="1">
      <c r="A34" s="116" t="s">
        <v>372</v>
      </c>
      <c r="B34" s="106">
        <v>257000</v>
      </c>
      <c r="C34" s="11">
        <v>70000</v>
      </c>
      <c r="D34" s="11">
        <v>25000</v>
      </c>
      <c r="E34" s="11">
        <v>59000</v>
      </c>
      <c r="F34" s="11">
        <v>60000</v>
      </c>
      <c r="G34" s="11">
        <v>1000</v>
      </c>
      <c r="H34" s="11">
        <v>42000</v>
      </c>
      <c r="I34" s="204">
        <f t="shared" si="1"/>
        <v>0.2723735408560311</v>
      </c>
      <c r="J34" s="204">
        <f t="shared" si="2"/>
        <v>9.727626459143969E-2</v>
      </c>
      <c r="K34" s="204">
        <f t="shared" si="3"/>
        <v>0.22957198443579765</v>
      </c>
      <c r="L34" s="204">
        <f t="shared" si="4"/>
        <v>0.23346303501945526</v>
      </c>
      <c r="M34" s="204">
        <f t="shared" si="5"/>
        <v>3.8910505836575876E-3</v>
      </c>
      <c r="N34" s="204">
        <f t="shared" si="6"/>
        <v>0.16342412451361868</v>
      </c>
    </row>
    <row r="35" spans="1:14" ht="12.45" customHeight="1">
      <c r="A35" s="118" t="s">
        <v>373</v>
      </c>
      <c r="B35" s="105">
        <v>88000</v>
      </c>
      <c r="C35" s="9">
        <v>2000</v>
      </c>
      <c r="D35" s="9">
        <v>35000</v>
      </c>
      <c r="E35" s="9">
        <v>15000</v>
      </c>
      <c r="F35" s="9">
        <v>12000</v>
      </c>
      <c r="G35" s="13" t="s">
        <v>220</v>
      </c>
      <c r="H35" s="9">
        <v>23000</v>
      </c>
      <c r="I35" s="204">
        <f t="shared" si="1"/>
        <v>2.2727272727272728E-2</v>
      </c>
      <c r="J35" s="204">
        <f t="shared" si="2"/>
        <v>0.39772727272727271</v>
      </c>
      <c r="K35" s="204">
        <f t="shared" si="3"/>
        <v>0.17045454545454544</v>
      </c>
      <c r="L35" s="204">
        <f t="shared" si="4"/>
        <v>0.13636363636363635</v>
      </c>
      <c r="M35" s="204" t="e">
        <f t="shared" si="5"/>
        <v>#VALUE!</v>
      </c>
      <c r="N35" s="204">
        <f t="shared" si="6"/>
        <v>0.26136363636363635</v>
      </c>
    </row>
    <row r="36" spans="1:14" ht="12.45" customHeight="1">
      <c r="A36" s="115" t="s">
        <v>176</v>
      </c>
      <c r="B36" s="105">
        <v>9699000</v>
      </c>
      <c r="C36" s="9">
        <v>81000</v>
      </c>
      <c r="D36" s="9">
        <v>154000</v>
      </c>
      <c r="E36" s="9">
        <v>4791000</v>
      </c>
      <c r="F36" s="9">
        <v>414000</v>
      </c>
      <c r="G36" s="9">
        <v>2323000</v>
      </c>
      <c r="H36" s="9">
        <v>1935000</v>
      </c>
      <c r="I36" s="204">
        <f t="shared" si="1"/>
        <v>8.3513764305598523E-3</v>
      </c>
      <c r="J36" s="204">
        <f t="shared" si="2"/>
        <v>1.5877925559336013E-2</v>
      </c>
      <c r="K36" s="204">
        <f t="shared" si="3"/>
        <v>0.4939684503557068</v>
      </c>
      <c r="L36" s="204">
        <f t="shared" si="4"/>
        <v>4.268481286730591E-2</v>
      </c>
      <c r="M36" s="204">
        <f t="shared" si="5"/>
        <v>0.2395092277554387</v>
      </c>
      <c r="N36" s="204">
        <f t="shared" si="6"/>
        <v>0.19950510361892979</v>
      </c>
    </row>
    <row r="37" spans="1:14" ht="12.45" customHeight="1">
      <c r="A37" s="116" t="s">
        <v>374</v>
      </c>
      <c r="B37" s="105">
        <v>1668000</v>
      </c>
      <c r="C37" s="9">
        <v>19000</v>
      </c>
      <c r="D37" s="9">
        <v>23000</v>
      </c>
      <c r="E37" s="9">
        <v>1413000</v>
      </c>
      <c r="F37" s="9">
        <v>58000</v>
      </c>
      <c r="G37" s="9">
        <v>20000</v>
      </c>
      <c r="H37" s="9">
        <v>135000</v>
      </c>
      <c r="I37" s="204">
        <f t="shared" si="1"/>
        <v>1.1390887290167866E-2</v>
      </c>
      <c r="J37" s="204">
        <f t="shared" si="2"/>
        <v>1.3788968824940047E-2</v>
      </c>
      <c r="K37" s="204">
        <f t="shared" si="3"/>
        <v>0.84712230215827333</v>
      </c>
      <c r="L37" s="204">
        <f t="shared" si="4"/>
        <v>3.4772182254196642E-2</v>
      </c>
      <c r="M37" s="204">
        <f t="shared" si="5"/>
        <v>1.1990407673860911E-2</v>
      </c>
      <c r="N37" s="204">
        <f t="shared" si="6"/>
        <v>8.0935251798561147E-2</v>
      </c>
    </row>
    <row r="38" spans="1:14" ht="24.75" customHeight="1">
      <c r="A38" s="116" t="s">
        <v>406</v>
      </c>
      <c r="B38" s="106">
        <v>2370000</v>
      </c>
      <c r="C38" s="11">
        <v>38000</v>
      </c>
      <c r="D38" s="11">
        <v>53000</v>
      </c>
      <c r="E38" s="11">
        <v>1840000</v>
      </c>
      <c r="F38" s="11">
        <v>120000</v>
      </c>
      <c r="G38" s="11">
        <v>15000</v>
      </c>
      <c r="H38" s="11">
        <v>304000</v>
      </c>
      <c r="I38" s="204">
        <f t="shared" si="1"/>
        <v>1.6033755274261603E-2</v>
      </c>
      <c r="J38" s="204">
        <f t="shared" si="2"/>
        <v>2.2362869198312235E-2</v>
      </c>
      <c r="K38" s="204">
        <f t="shared" si="3"/>
        <v>0.77637130801687759</v>
      </c>
      <c r="L38" s="204">
        <f t="shared" si="4"/>
        <v>5.0632911392405063E-2</v>
      </c>
      <c r="M38" s="204">
        <f t="shared" si="5"/>
        <v>6.3291139240506328E-3</v>
      </c>
      <c r="N38" s="204">
        <f t="shared" si="6"/>
        <v>0.12827004219409283</v>
      </c>
    </row>
    <row r="39" spans="1:14" ht="12.45" customHeight="1">
      <c r="A39" s="116" t="s">
        <v>376</v>
      </c>
      <c r="B39" s="105">
        <v>1923000</v>
      </c>
      <c r="C39" s="13" t="s">
        <v>220</v>
      </c>
      <c r="D39" s="13" t="s">
        <v>220</v>
      </c>
      <c r="E39" s="9">
        <v>59000</v>
      </c>
      <c r="F39" s="9">
        <v>21000</v>
      </c>
      <c r="G39" s="9">
        <v>1811000</v>
      </c>
      <c r="H39" s="9">
        <v>32000</v>
      </c>
      <c r="I39" s="204" t="e">
        <f t="shared" si="1"/>
        <v>#VALUE!</v>
      </c>
      <c r="J39" s="204" t="e">
        <f t="shared" si="2"/>
        <v>#VALUE!</v>
      </c>
      <c r="K39" s="204">
        <f t="shared" si="3"/>
        <v>3.0681227249089962E-2</v>
      </c>
      <c r="L39" s="204">
        <f t="shared" si="4"/>
        <v>1.0920436817472699E-2</v>
      </c>
      <c r="M39" s="204">
        <f t="shared" si="5"/>
        <v>0.94175767030681223</v>
      </c>
      <c r="N39" s="204">
        <f t="shared" si="6"/>
        <v>1.6640665626625067E-2</v>
      </c>
    </row>
    <row r="40" spans="1:14" ht="24.75" customHeight="1">
      <c r="A40" s="116" t="s">
        <v>377</v>
      </c>
      <c r="B40" s="106">
        <v>231000</v>
      </c>
      <c r="C40" s="16" t="s">
        <v>220</v>
      </c>
      <c r="D40" s="16" t="s">
        <v>220</v>
      </c>
      <c r="E40" s="11">
        <v>14000</v>
      </c>
      <c r="F40" s="11">
        <v>6000</v>
      </c>
      <c r="G40" s="11">
        <v>187000</v>
      </c>
      <c r="H40" s="11">
        <v>23000</v>
      </c>
      <c r="I40" s="204" t="e">
        <f t="shared" si="1"/>
        <v>#VALUE!</v>
      </c>
      <c r="J40" s="204" t="e">
        <f t="shared" si="2"/>
        <v>#VALUE!</v>
      </c>
      <c r="K40" s="204">
        <f t="shared" si="3"/>
        <v>6.0606060606060608E-2</v>
      </c>
      <c r="L40" s="204">
        <f t="shared" si="4"/>
        <v>2.5974025974025976E-2</v>
      </c>
      <c r="M40" s="204">
        <f t="shared" si="5"/>
        <v>0.80952380952380953</v>
      </c>
      <c r="N40" s="204">
        <f t="shared" si="6"/>
        <v>9.9567099567099568E-2</v>
      </c>
    </row>
  </sheetData>
  <mergeCells count="4">
    <mergeCell ref="A1:I1"/>
    <mergeCell ref="A3:A4"/>
    <mergeCell ref="B3:B4"/>
    <mergeCell ref="C3:H3"/>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37"/>
  <sheetViews>
    <sheetView topLeftCell="A20" workbookViewId="0">
      <selection activeCell="A5" sqref="A5:N37"/>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39" customHeight="1">
      <c r="A1" s="321" t="s">
        <v>389</v>
      </c>
      <c r="B1" s="321"/>
      <c r="C1" s="321"/>
      <c r="D1" s="321"/>
      <c r="E1" s="321"/>
      <c r="F1" s="321"/>
      <c r="G1" s="321"/>
      <c r="H1" s="321"/>
      <c r="I1" s="321"/>
    </row>
    <row r="2" spans="1:14" ht="1.95" customHeight="1"/>
    <row r="3" spans="1:14" ht="13.95" customHeight="1">
      <c r="A3" s="371" t="s">
        <v>286</v>
      </c>
      <c r="B3" s="347" t="s">
        <v>167</v>
      </c>
      <c r="C3" s="330" t="s">
        <v>390</v>
      </c>
      <c r="D3" s="331"/>
      <c r="E3" s="331"/>
      <c r="F3" s="331"/>
      <c r="G3" s="331"/>
      <c r="H3" s="332"/>
    </row>
    <row r="4" spans="1:14" ht="27.75" customHeight="1">
      <c r="A4" s="372"/>
      <c r="B4" s="348"/>
      <c r="C4" s="5" t="s">
        <v>391</v>
      </c>
      <c r="D4" s="55" t="s">
        <v>392</v>
      </c>
      <c r="E4" s="56" t="s">
        <v>393</v>
      </c>
      <c r="F4" s="56" t="s">
        <v>394</v>
      </c>
      <c r="G4" s="57" t="s">
        <v>395</v>
      </c>
      <c r="H4" s="58" t="s">
        <v>396</v>
      </c>
      <c r="I4" s="227" t="s">
        <v>397</v>
      </c>
      <c r="J4" s="233" t="s">
        <v>398</v>
      </c>
      <c r="K4" s="227" t="s">
        <v>399</v>
      </c>
      <c r="L4" s="227" t="s">
        <v>400</v>
      </c>
      <c r="M4" s="234" t="s">
        <v>401</v>
      </c>
      <c r="N4" s="233" t="s">
        <v>402</v>
      </c>
    </row>
    <row r="5" spans="1:14" ht="24.75" customHeight="1">
      <c r="A5" s="116" t="s">
        <v>378</v>
      </c>
      <c r="B5" s="142">
        <v>1094000</v>
      </c>
      <c r="C5" s="32" t="s">
        <v>220</v>
      </c>
      <c r="D5" s="32" t="s">
        <v>191</v>
      </c>
      <c r="E5" s="29">
        <v>152000</v>
      </c>
      <c r="F5" s="29">
        <v>23000</v>
      </c>
      <c r="G5" s="29">
        <v>108000</v>
      </c>
      <c r="H5" s="29">
        <v>807000</v>
      </c>
      <c r="I5" s="204" t="e">
        <f>C5/$B5</f>
        <v>#VALUE!</v>
      </c>
      <c r="J5" s="204" t="e">
        <f t="shared" ref="J5:N5" si="0">D5/$B5</f>
        <v>#VALUE!</v>
      </c>
      <c r="K5" s="204">
        <f t="shared" si="0"/>
        <v>0.13893967093235832</v>
      </c>
      <c r="L5" s="204">
        <f t="shared" si="0"/>
        <v>2.1023765996343691E-2</v>
      </c>
      <c r="M5" s="204">
        <f t="shared" si="0"/>
        <v>9.8720292504570387E-2</v>
      </c>
      <c r="N5" s="204">
        <f t="shared" si="0"/>
        <v>0.73765996343692875</v>
      </c>
    </row>
    <row r="6" spans="1:14" ht="24.75" customHeight="1">
      <c r="A6" s="116" t="s">
        <v>379</v>
      </c>
      <c r="B6" s="106">
        <v>714000</v>
      </c>
      <c r="C6" s="16" t="s">
        <v>191</v>
      </c>
      <c r="D6" s="11">
        <v>12000</v>
      </c>
      <c r="E6" s="11">
        <v>605000</v>
      </c>
      <c r="F6" s="11">
        <v>21000</v>
      </c>
      <c r="G6" s="16" t="s">
        <v>220</v>
      </c>
      <c r="H6" s="11">
        <v>61000</v>
      </c>
      <c r="I6" s="204" t="e">
        <f t="shared" ref="I6:I7" si="1">C6/$B6</f>
        <v>#VALUE!</v>
      </c>
      <c r="J6" s="204">
        <f t="shared" ref="J6:J9" si="2">D6/$B6</f>
        <v>1.680672268907563E-2</v>
      </c>
      <c r="K6" s="204">
        <f t="shared" ref="K6:K9" si="3">E6/$B6</f>
        <v>0.84733893557422968</v>
      </c>
      <c r="L6" s="204">
        <f t="shared" ref="L6:L9" si="4">F6/$B6</f>
        <v>2.9411764705882353E-2</v>
      </c>
      <c r="M6" s="204" t="e">
        <f t="shared" ref="M6:M9" si="5">G6/$B6</f>
        <v>#VALUE!</v>
      </c>
      <c r="N6" s="204">
        <f t="shared" ref="N6:N9" si="6">H6/$B6</f>
        <v>8.5434173669467789E-2</v>
      </c>
    </row>
    <row r="7" spans="1:14" ht="24.75" customHeight="1">
      <c r="A7" s="116" t="s">
        <v>380</v>
      </c>
      <c r="B7" s="106">
        <v>348000</v>
      </c>
      <c r="C7" s="16" t="s">
        <v>220</v>
      </c>
      <c r="D7" s="11">
        <v>46000</v>
      </c>
      <c r="E7" s="11">
        <v>76000</v>
      </c>
      <c r="F7" s="11">
        <v>62000</v>
      </c>
      <c r="G7" s="16" t="s">
        <v>191</v>
      </c>
      <c r="H7" s="11">
        <v>140000</v>
      </c>
      <c r="I7" s="204" t="e">
        <f t="shared" si="1"/>
        <v>#VALUE!</v>
      </c>
      <c r="J7" s="204">
        <f t="shared" si="2"/>
        <v>0.13218390804597702</v>
      </c>
      <c r="K7" s="204">
        <f t="shared" si="3"/>
        <v>0.21839080459770116</v>
      </c>
      <c r="L7" s="204">
        <f t="shared" si="4"/>
        <v>0.17816091954022989</v>
      </c>
      <c r="M7" s="204" t="e">
        <f t="shared" si="5"/>
        <v>#VALUE!</v>
      </c>
      <c r="N7" s="204">
        <f t="shared" si="6"/>
        <v>0.40229885057471265</v>
      </c>
    </row>
    <row r="8" spans="1:14" ht="12.45" customHeight="1">
      <c r="A8" s="116" t="s">
        <v>381</v>
      </c>
      <c r="B8" s="105">
        <v>1351000</v>
      </c>
      <c r="C8" s="9">
        <v>13000</v>
      </c>
      <c r="D8" s="9">
        <v>18000</v>
      </c>
      <c r="E8" s="9">
        <v>632000</v>
      </c>
      <c r="F8" s="9">
        <v>103000</v>
      </c>
      <c r="G8" s="9">
        <v>151000</v>
      </c>
      <c r="H8" s="9">
        <v>434000</v>
      </c>
      <c r="I8" s="204">
        <f>C8/$B8</f>
        <v>9.6225018504811251E-3</v>
      </c>
      <c r="J8" s="204">
        <f t="shared" si="2"/>
        <v>1.3323464100666173E-2</v>
      </c>
      <c r="K8" s="204">
        <f t="shared" si="3"/>
        <v>0.46780162842339007</v>
      </c>
      <c r="L8" s="204">
        <f t="shared" si="4"/>
        <v>7.6239822353811992E-2</v>
      </c>
      <c r="M8" s="204">
        <f t="shared" si="5"/>
        <v>0.11176905995558846</v>
      </c>
      <c r="N8" s="204">
        <f t="shared" si="6"/>
        <v>0.32124352331606215</v>
      </c>
    </row>
    <row r="9" spans="1:14" ht="12.45" customHeight="1">
      <c r="A9" s="135" t="s">
        <v>221</v>
      </c>
      <c r="B9" s="136">
        <v>2141000</v>
      </c>
      <c r="C9" s="137">
        <v>80000</v>
      </c>
      <c r="D9" s="137">
        <v>40000</v>
      </c>
      <c r="E9" s="137">
        <v>408000</v>
      </c>
      <c r="F9" s="137">
        <v>681000</v>
      </c>
      <c r="G9" s="137">
        <v>515000</v>
      </c>
      <c r="H9" s="137">
        <v>416000</v>
      </c>
      <c r="I9" s="204">
        <f t="shared" ref="I9:I37" si="7">C9/$B9</f>
        <v>3.7365716954694067E-2</v>
      </c>
      <c r="J9" s="204">
        <f t="shared" si="2"/>
        <v>1.8682858477347034E-2</v>
      </c>
      <c r="K9" s="204">
        <f t="shared" si="3"/>
        <v>0.19056515646893976</v>
      </c>
      <c r="L9" s="204">
        <f t="shared" si="4"/>
        <v>0.31807566557683326</v>
      </c>
      <c r="M9" s="204">
        <f t="shared" si="5"/>
        <v>0.24054180289584307</v>
      </c>
      <c r="N9" s="204">
        <f t="shared" si="6"/>
        <v>0.19430172816440916</v>
      </c>
    </row>
    <row r="10" spans="1:14" ht="12.45" customHeight="1">
      <c r="A10" s="138" t="s">
        <v>174</v>
      </c>
      <c r="B10" s="105">
        <v>962000</v>
      </c>
      <c r="C10" s="9">
        <v>59000</v>
      </c>
      <c r="D10" s="9">
        <v>25000</v>
      </c>
      <c r="E10" s="9">
        <v>94000</v>
      </c>
      <c r="F10" s="9">
        <v>483000</v>
      </c>
      <c r="G10" s="9">
        <v>198000</v>
      </c>
      <c r="H10" s="9">
        <v>104000</v>
      </c>
      <c r="I10" s="204">
        <f t="shared" si="7"/>
        <v>6.1330561330561334E-2</v>
      </c>
      <c r="J10" s="204">
        <f t="shared" ref="J10:J37" si="8">D10/$B10</f>
        <v>2.5987525987525989E-2</v>
      </c>
      <c r="K10" s="204">
        <f t="shared" ref="K10:K37" si="9">E10/$B10</f>
        <v>9.7713097713097719E-2</v>
      </c>
      <c r="L10" s="204">
        <f t="shared" ref="L10:L37" si="10">F10/$B10</f>
        <v>0.50207900207900202</v>
      </c>
      <c r="M10" s="204">
        <f t="shared" ref="M10:M37" si="11">G10/$B10</f>
        <v>0.20582120582120583</v>
      </c>
      <c r="N10" s="204">
        <f t="shared" ref="N10:N37" si="12">H10/$B10</f>
        <v>0.10810810810810811</v>
      </c>
    </row>
    <row r="11" spans="1:14" ht="24.75" customHeight="1">
      <c r="A11" s="139" t="s">
        <v>227</v>
      </c>
      <c r="B11" s="106">
        <v>291000</v>
      </c>
      <c r="C11" s="11">
        <v>2000</v>
      </c>
      <c r="D11" s="11">
        <v>2000</v>
      </c>
      <c r="E11" s="11">
        <v>28000</v>
      </c>
      <c r="F11" s="11">
        <v>210000</v>
      </c>
      <c r="G11" s="11">
        <v>35000</v>
      </c>
      <c r="H11" s="11">
        <v>14000</v>
      </c>
      <c r="I11" s="204">
        <f t="shared" si="7"/>
        <v>6.8728522336769758E-3</v>
      </c>
      <c r="J11" s="204">
        <f t="shared" si="8"/>
        <v>6.8728522336769758E-3</v>
      </c>
      <c r="K11" s="204">
        <f t="shared" si="9"/>
        <v>9.6219931271477668E-2</v>
      </c>
      <c r="L11" s="204">
        <f t="shared" si="10"/>
        <v>0.72164948453608246</v>
      </c>
      <c r="M11" s="204">
        <f t="shared" si="11"/>
        <v>0.12027491408934708</v>
      </c>
      <c r="N11" s="204">
        <f t="shared" si="12"/>
        <v>4.8109965635738834E-2</v>
      </c>
    </row>
    <row r="12" spans="1:14" ht="24.75" customHeight="1">
      <c r="A12" s="140" t="s">
        <v>343</v>
      </c>
      <c r="B12" s="106">
        <v>17000</v>
      </c>
      <c r="C12" s="16" t="s">
        <v>220</v>
      </c>
      <c r="D12" s="16" t="s">
        <v>220</v>
      </c>
      <c r="E12" s="11">
        <v>2000</v>
      </c>
      <c r="F12" s="11">
        <v>14000</v>
      </c>
      <c r="G12" s="16" t="s">
        <v>220</v>
      </c>
      <c r="H12" s="16" t="s">
        <v>191</v>
      </c>
      <c r="I12" s="204" t="e">
        <f t="shared" si="7"/>
        <v>#VALUE!</v>
      </c>
      <c r="J12" s="204" t="e">
        <f t="shared" si="8"/>
        <v>#VALUE!</v>
      </c>
      <c r="K12" s="204">
        <f t="shared" si="9"/>
        <v>0.11764705882352941</v>
      </c>
      <c r="L12" s="204">
        <f t="shared" si="10"/>
        <v>0.82352941176470584</v>
      </c>
      <c r="M12" s="204" t="e">
        <f t="shared" si="11"/>
        <v>#VALUE!</v>
      </c>
      <c r="N12" s="204" t="e">
        <f t="shared" si="12"/>
        <v>#VALUE!</v>
      </c>
    </row>
    <row r="13" spans="1:14" ht="24.75" customHeight="1">
      <c r="A13" s="140" t="s">
        <v>344</v>
      </c>
      <c r="B13" s="106">
        <v>206000</v>
      </c>
      <c r="C13" s="11">
        <v>2000</v>
      </c>
      <c r="D13" s="11">
        <v>1000</v>
      </c>
      <c r="E13" s="11">
        <v>20000</v>
      </c>
      <c r="F13" s="11">
        <v>170000</v>
      </c>
      <c r="G13" s="11">
        <v>1000</v>
      </c>
      <c r="H13" s="11">
        <v>12000</v>
      </c>
      <c r="I13" s="204">
        <f t="shared" si="7"/>
        <v>9.7087378640776691E-3</v>
      </c>
      <c r="J13" s="204">
        <f t="shared" si="8"/>
        <v>4.8543689320388345E-3</v>
      </c>
      <c r="K13" s="204">
        <f t="shared" si="9"/>
        <v>9.7087378640776698E-2</v>
      </c>
      <c r="L13" s="204">
        <f t="shared" si="10"/>
        <v>0.82524271844660191</v>
      </c>
      <c r="M13" s="204">
        <f t="shared" si="11"/>
        <v>4.8543689320388345E-3</v>
      </c>
      <c r="N13" s="204">
        <f t="shared" si="12"/>
        <v>5.8252427184466021E-2</v>
      </c>
    </row>
    <row r="14" spans="1:14" ht="12.45" customHeight="1">
      <c r="A14" s="150" t="s">
        <v>345</v>
      </c>
      <c r="B14" s="162" t="s">
        <v>191</v>
      </c>
      <c r="C14" s="13" t="s">
        <v>220</v>
      </c>
      <c r="D14" s="13" t="s">
        <v>220</v>
      </c>
      <c r="E14" s="13" t="s">
        <v>220</v>
      </c>
      <c r="F14" s="13" t="s">
        <v>191</v>
      </c>
      <c r="G14" s="13" t="s">
        <v>220</v>
      </c>
      <c r="H14" s="13" t="s">
        <v>220</v>
      </c>
      <c r="I14" s="204" t="e">
        <f t="shared" si="7"/>
        <v>#VALUE!</v>
      </c>
      <c r="J14" s="204" t="e">
        <f t="shared" si="8"/>
        <v>#VALUE!</v>
      </c>
      <c r="K14" s="204" t="e">
        <f t="shared" si="9"/>
        <v>#VALUE!</v>
      </c>
      <c r="L14" s="204" t="e">
        <f t="shared" si="10"/>
        <v>#VALUE!</v>
      </c>
      <c r="M14" s="204" t="e">
        <f t="shared" si="11"/>
        <v>#VALUE!</v>
      </c>
      <c r="N14" s="204" t="e">
        <f t="shared" si="12"/>
        <v>#VALUE!</v>
      </c>
    </row>
    <row r="15" spans="1:14" ht="24.75" customHeight="1">
      <c r="A15" s="140" t="s">
        <v>346</v>
      </c>
      <c r="B15" s="106">
        <v>65000</v>
      </c>
      <c r="C15" s="16" t="s">
        <v>220</v>
      </c>
      <c r="D15" s="16" t="s">
        <v>220</v>
      </c>
      <c r="E15" s="11">
        <v>6000</v>
      </c>
      <c r="F15" s="11">
        <v>25000</v>
      </c>
      <c r="G15" s="11">
        <v>34000</v>
      </c>
      <c r="H15" s="16" t="s">
        <v>220</v>
      </c>
      <c r="I15" s="204" t="e">
        <f t="shared" si="7"/>
        <v>#VALUE!</v>
      </c>
      <c r="J15" s="204" t="e">
        <f t="shared" si="8"/>
        <v>#VALUE!</v>
      </c>
      <c r="K15" s="204">
        <f t="shared" si="9"/>
        <v>9.2307692307692313E-2</v>
      </c>
      <c r="L15" s="204">
        <f t="shared" si="10"/>
        <v>0.38461538461538464</v>
      </c>
      <c r="M15" s="204">
        <f t="shared" si="11"/>
        <v>0.52307692307692311</v>
      </c>
      <c r="N15" s="204" t="e">
        <f t="shared" si="12"/>
        <v>#VALUE!</v>
      </c>
    </row>
    <row r="16" spans="1:14" ht="24.75" customHeight="1">
      <c r="A16" s="139" t="s">
        <v>228</v>
      </c>
      <c r="B16" s="106">
        <v>185000</v>
      </c>
      <c r="C16" s="11">
        <v>46000</v>
      </c>
      <c r="D16" s="11">
        <v>8000</v>
      </c>
      <c r="E16" s="11">
        <v>21000</v>
      </c>
      <c r="F16" s="11">
        <v>67000</v>
      </c>
      <c r="G16" s="11">
        <v>36000</v>
      </c>
      <c r="H16" s="11">
        <v>7000</v>
      </c>
      <c r="I16" s="204">
        <f t="shared" si="7"/>
        <v>0.24864864864864866</v>
      </c>
      <c r="J16" s="204">
        <f t="shared" si="8"/>
        <v>4.3243243243243246E-2</v>
      </c>
      <c r="K16" s="204">
        <f t="shared" si="9"/>
        <v>0.11351351351351352</v>
      </c>
      <c r="L16" s="204">
        <f t="shared" si="10"/>
        <v>0.36216216216216218</v>
      </c>
      <c r="M16" s="204">
        <f t="shared" si="11"/>
        <v>0.19459459459459461</v>
      </c>
      <c r="N16" s="204">
        <f t="shared" si="12"/>
        <v>3.783783783783784E-2</v>
      </c>
    </row>
    <row r="17" spans="1:14" ht="24.75" customHeight="1">
      <c r="A17" s="140" t="s">
        <v>347</v>
      </c>
      <c r="B17" s="106">
        <v>96000</v>
      </c>
      <c r="C17" s="11">
        <v>41000</v>
      </c>
      <c r="D17" s="11">
        <v>6000</v>
      </c>
      <c r="E17" s="11">
        <v>15000</v>
      </c>
      <c r="F17" s="11">
        <v>31000</v>
      </c>
      <c r="G17" s="16" t="s">
        <v>220</v>
      </c>
      <c r="H17" s="11">
        <v>3000</v>
      </c>
      <c r="I17" s="204">
        <f t="shared" si="7"/>
        <v>0.42708333333333331</v>
      </c>
      <c r="J17" s="204">
        <f t="shared" si="8"/>
        <v>6.25E-2</v>
      </c>
      <c r="K17" s="204">
        <f t="shared" si="9"/>
        <v>0.15625</v>
      </c>
      <c r="L17" s="204">
        <f t="shared" si="10"/>
        <v>0.32291666666666669</v>
      </c>
      <c r="M17" s="204" t="e">
        <f t="shared" si="11"/>
        <v>#VALUE!</v>
      </c>
      <c r="N17" s="204">
        <f t="shared" si="12"/>
        <v>3.125E-2</v>
      </c>
    </row>
    <row r="18" spans="1:14" ht="12.45" customHeight="1">
      <c r="A18" s="140" t="s">
        <v>348</v>
      </c>
      <c r="B18" s="105">
        <v>35000</v>
      </c>
      <c r="C18" s="9">
        <v>4000</v>
      </c>
      <c r="D18" s="9">
        <v>3000</v>
      </c>
      <c r="E18" s="9">
        <v>2000</v>
      </c>
      <c r="F18" s="9">
        <v>22000</v>
      </c>
      <c r="G18" s="13" t="s">
        <v>220</v>
      </c>
      <c r="H18" s="9">
        <v>3000</v>
      </c>
      <c r="I18" s="204">
        <f t="shared" si="7"/>
        <v>0.11428571428571428</v>
      </c>
      <c r="J18" s="204">
        <f t="shared" si="8"/>
        <v>8.5714285714285715E-2</v>
      </c>
      <c r="K18" s="204">
        <f t="shared" si="9"/>
        <v>5.7142857142857141E-2</v>
      </c>
      <c r="L18" s="204">
        <f t="shared" si="10"/>
        <v>0.62857142857142856</v>
      </c>
      <c r="M18" s="204" t="e">
        <f t="shared" si="11"/>
        <v>#VALUE!</v>
      </c>
      <c r="N18" s="204">
        <f t="shared" si="12"/>
        <v>8.5714285714285715E-2</v>
      </c>
    </row>
    <row r="19" spans="1:14" ht="24.75" customHeight="1">
      <c r="A19" s="140" t="s">
        <v>349</v>
      </c>
      <c r="B19" s="106">
        <v>53000</v>
      </c>
      <c r="C19" s="16" t="s">
        <v>220</v>
      </c>
      <c r="D19" s="16" t="s">
        <v>220</v>
      </c>
      <c r="E19" s="11">
        <v>4000</v>
      </c>
      <c r="F19" s="11">
        <v>14000</v>
      </c>
      <c r="G19" s="11">
        <v>35000</v>
      </c>
      <c r="H19" s="16" t="s">
        <v>220</v>
      </c>
      <c r="I19" s="204" t="e">
        <f t="shared" si="7"/>
        <v>#VALUE!</v>
      </c>
      <c r="J19" s="204" t="e">
        <f t="shared" si="8"/>
        <v>#VALUE!</v>
      </c>
      <c r="K19" s="204">
        <f t="shared" si="9"/>
        <v>7.5471698113207544E-2</v>
      </c>
      <c r="L19" s="204">
        <f t="shared" si="10"/>
        <v>0.26415094339622641</v>
      </c>
      <c r="M19" s="204">
        <f t="shared" si="11"/>
        <v>0.660377358490566</v>
      </c>
      <c r="N19" s="204" t="e">
        <f t="shared" si="12"/>
        <v>#VALUE!</v>
      </c>
    </row>
    <row r="20" spans="1:14" ht="12.45" customHeight="1">
      <c r="A20" s="150" t="s">
        <v>229</v>
      </c>
      <c r="B20" s="105">
        <v>125000</v>
      </c>
      <c r="C20" s="9">
        <v>3000</v>
      </c>
      <c r="D20" s="13" t="s">
        <v>191</v>
      </c>
      <c r="E20" s="9">
        <v>11000</v>
      </c>
      <c r="F20" s="9">
        <v>70000</v>
      </c>
      <c r="G20" s="9">
        <v>34000</v>
      </c>
      <c r="H20" s="9">
        <v>5000</v>
      </c>
      <c r="I20" s="204">
        <f t="shared" si="7"/>
        <v>2.4E-2</v>
      </c>
      <c r="J20" s="204" t="e">
        <f t="shared" si="8"/>
        <v>#VALUE!</v>
      </c>
      <c r="K20" s="204">
        <f t="shared" si="9"/>
        <v>8.7999999999999995E-2</v>
      </c>
      <c r="L20" s="204">
        <f t="shared" si="10"/>
        <v>0.56000000000000005</v>
      </c>
      <c r="M20" s="204">
        <f t="shared" si="11"/>
        <v>0.27200000000000002</v>
      </c>
      <c r="N20" s="204">
        <f t="shared" si="12"/>
        <v>0.04</v>
      </c>
    </row>
    <row r="21" spans="1:14" ht="24.75" customHeight="1">
      <c r="A21" s="140" t="s">
        <v>350</v>
      </c>
      <c r="B21" s="106">
        <v>30000</v>
      </c>
      <c r="C21" s="16" t="s">
        <v>220</v>
      </c>
      <c r="D21" s="16" t="s">
        <v>220</v>
      </c>
      <c r="E21" s="11">
        <v>3000</v>
      </c>
      <c r="F21" s="11">
        <v>24000</v>
      </c>
      <c r="G21" s="16" t="s">
        <v>220</v>
      </c>
      <c r="H21" s="11">
        <v>2000</v>
      </c>
      <c r="I21" s="204" t="e">
        <f t="shared" si="7"/>
        <v>#VALUE!</v>
      </c>
      <c r="J21" s="204" t="e">
        <f t="shared" si="8"/>
        <v>#VALUE!</v>
      </c>
      <c r="K21" s="204">
        <f t="shared" si="9"/>
        <v>0.1</v>
      </c>
      <c r="L21" s="204">
        <f t="shared" si="10"/>
        <v>0.8</v>
      </c>
      <c r="M21" s="204" t="e">
        <f t="shared" si="11"/>
        <v>#VALUE!</v>
      </c>
      <c r="N21" s="204">
        <f t="shared" si="12"/>
        <v>6.6666666666666666E-2</v>
      </c>
    </row>
    <row r="22" spans="1:14" ht="24.75" customHeight="1">
      <c r="A22" s="140" t="s">
        <v>351</v>
      </c>
      <c r="B22" s="106">
        <v>17000</v>
      </c>
      <c r="C22" s="16" t="s">
        <v>191</v>
      </c>
      <c r="D22" s="16" t="s">
        <v>220</v>
      </c>
      <c r="E22" s="16" t="s">
        <v>191</v>
      </c>
      <c r="F22" s="11">
        <v>13000</v>
      </c>
      <c r="G22" s="16" t="s">
        <v>220</v>
      </c>
      <c r="H22" s="16" t="s">
        <v>191</v>
      </c>
      <c r="I22" s="204" t="e">
        <f t="shared" si="7"/>
        <v>#VALUE!</v>
      </c>
      <c r="J22" s="204" t="e">
        <f t="shared" si="8"/>
        <v>#VALUE!</v>
      </c>
      <c r="K22" s="204" t="e">
        <f t="shared" si="9"/>
        <v>#VALUE!</v>
      </c>
      <c r="L22" s="204">
        <f t="shared" si="10"/>
        <v>0.76470588235294112</v>
      </c>
      <c r="M22" s="204" t="e">
        <f t="shared" si="11"/>
        <v>#VALUE!</v>
      </c>
      <c r="N22" s="204" t="e">
        <f t="shared" si="12"/>
        <v>#VALUE!</v>
      </c>
    </row>
    <row r="23" spans="1:14" ht="12.45" customHeight="1">
      <c r="A23" s="140" t="s">
        <v>352</v>
      </c>
      <c r="B23" s="105">
        <v>20000</v>
      </c>
      <c r="C23" s="13" t="s">
        <v>191</v>
      </c>
      <c r="D23" s="13" t="s">
        <v>191</v>
      </c>
      <c r="E23" s="13" t="s">
        <v>191</v>
      </c>
      <c r="F23" s="9">
        <v>16000</v>
      </c>
      <c r="G23" s="13" t="s">
        <v>220</v>
      </c>
      <c r="H23" s="9">
        <v>1000</v>
      </c>
      <c r="I23" s="204" t="e">
        <f t="shared" si="7"/>
        <v>#VALUE!</v>
      </c>
      <c r="J23" s="204" t="e">
        <f t="shared" si="8"/>
        <v>#VALUE!</v>
      </c>
      <c r="K23" s="204" t="e">
        <f t="shared" si="9"/>
        <v>#VALUE!</v>
      </c>
      <c r="L23" s="204">
        <f t="shared" si="10"/>
        <v>0.8</v>
      </c>
      <c r="M23" s="204" t="e">
        <f t="shared" si="11"/>
        <v>#VALUE!</v>
      </c>
      <c r="N23" s="204">
        <f t="shared" si="12"/>
        <v>0.05</v>
      </c>
    </row>
    <row r="24" spans="1:14" ht="36.75" customHeight="1">
      <c r="A24" s="140" t="s">
        <v>353</v>
      </c>
      <c r="B24" s="132">
        <v>10000</v>
      </c>
      <c r="C24" s="26" t="s">
        <v>220</v>
      </c>
      <c r="D24" s="26" t="s">
        <v>220</v>
      </c>
      <c r="E24" s="26" t="s">
        <v>220</v>
      </c>
      <c r="F24" s="25">
        <v>6000</v>
      </c>
      <c r="G24" s="26" t="s">
        <v>220</v>
      </c>
      <c r="H24" s="26" t="s">
        <v>220</v>
      </c>
      <c r="I24" s="204" t="e">
        <f t="shared" si="7"/>
        <v>#VALUE!</v>
      </c>
      <c r="J24" s="204" t="e">
        <f t="shared" si="8"/>
        <v>#VALUE!</v>
      </c>
      <c r="K24" s="204" t="e">
        <f t="shared" si="9"/>
        <v>#VALUE!</v>
      </c>
      <c r="L24" s="204">
        <f t="shared" si="10"/>
        <v>0.6</v>
      </c>
      <c r="M24" s="204" t="e">
        <f t="shared" si="11"/>
        <v>#VALUE!</v>
      </c>
      <c r="N24" s="204" t="e">
        <f t="shared" si="12"/>
        <v>#VALUE!</v>
      </c>
    </row>
    <row r="25" spans="1:14" ht="24.75" customHeight="1">
      <c r="A25" s="140" t="s">
        <v>354</v>
      </c>
      <c r="B25" s="106">
        <v>47000</v>
      </c>
      <c r="C25" s="16" t="s">
        <v>220</v>
      </c>
      <c r="D25" s="16" t="s">
        <v>220</v>
      </c>
      <c r="E25" s="11">
        <v>2000</v>
      </c>
      <c r="F25" s="11">
        <v>11000</v>
      </c>
      <c r="G25" s="11">
        <v>33000</v>
      </c>
      <c r="H25" s="16" t="s">
        <v>220</v>
      </c>
      <c r="I25" s="204" t="e">
        <f t="shared" si="7"/>
        <v>#VALUE!</v>
      </c>
      <c r="J25" s="204" t="e">
        <f t="shared" si="8"/>
        <v>#VALUE!</v>
      </c>
      <c r="K25" s="204">
        <f t="shared" si="9"/>
        <v>4.2553191489361701E-2</v>
      </c>
      <c r="L25" s="204">
        <f t="shared" si="10"/>
        <v>0.23404255319148937</v>
      </c>
      <c r="M25" s="204">
        <f t="shared" si="11"/>
        <v>0.7021276595744681</v>
      </c>
      <c r="N25" s="204" t="e">
        <f t="shared" si="12"/>
        <v>#VALUE!</v>
      </c>
    </row>
    <row r="26" spans="1:14" ht="12.45" customHeight="1">
      <c r="A26" s="139" t="s">
        <v>230</v>
      </c>
      <c r="B26" s="105">
        <v>221000</v>
      </c>
      <c r="C26" s="13" t="s">
        <v>191</v>
      </c>
      <c r="D26" s="9">
        <v>1000</v>
      </c>
      <c r="E26" s="9">
        <v>10000</v>
      </c>
      <c r="F26" s="9">
        <v>65000</v>
      </c>
      <c r="G26" s="9">
        <v>75000</v>
      </c>
      <c r="H26" s="9">
        <v>69000</v>
      </c>
      <c r="I26" s="204" t="e">
        <f t="shared" si="7"/>
        <v>#VALUE!</v>
      </c>
      <c r="J26" s="204">
        <f t="shared" si="8"/>
        <v>4.5248868778280547E-3</v>
      </c>
      <c r="K26" s="204">
        <f t="shared" si="9"/>
        <v>4.5248868778280542E-2</v>
      </c>
      <c r="L26" s="204">
        <f t="shared" si="10"/>
        <v>0.29411764705882354</v>
      </c>
      <c r="M26" s="204">
        <f t="shared" si="11"/>
        <v>0.33936651583710409</v>
      </c>
      <c r="N26" s="204">
        <f t="shared" si="12"/>
        <v>0.31221719457013575</v>
      </c>
    </row>
    <row r="27" spans="1:14" ht="12.45" customHeight="1">
      <c r="A27" s="140" t="s">
        <v>355</v>
      </c>
      <c r="B27" s="105">
        <v>15000</v>
      </c>
      <c r="C27" s="13" t="s">
        <v>220</v>
      </c>
      <c r="D27" s="13" t="s">
        <v>220</v>
      </c>
      <c r="E27" s="9">
        <v>2000</v>
      </c>
      <c r="F27" s="9">
        <v>12000</v>
      </c>
      <c r="G27" s="13" t="s">
        <v>220</v>
      </c>
      <c r="H27" s="9">
        <v>1000</v>
      </c>
      <c r="I27" s="204" t="e">
        <f t="shared" si="7"/>
        <v>#VALUE!</v>
      </c>
      <c r="J27" s="204" t="e">
        <f t="shared" si="8"/>
        <v>#VALUE!</v>
      </c>
      <c r="K27" s="204">
        <f t="shared" si="9"/>
        <v>0.13333333333333333</v>
      </c>
      <c r="L27" s="204">
        <f t="shared" si="10"/>
        <v>0.8</v>
      </c>
      <c r="M27" s="204" t="e">
        <f t="shared" si="11"/>
        <v>#VALUE!</v>
      </c>
      <c r="N27" s="204">
        <f t="shared" si="12"/>
        <v>6.6666666666666666E-2</v>
      </c>
    </row>
    <row r="28" spans="1:14" ht="12.45" customHeight="1">
      <c r="A28" s="140" t="s">
        <v>356</v>
      </c>
      <c r="B28" s="105">
        <v>2000</v>
      </c>
      <c r="C28" s="13" t="s">
        <v>220</v>
      </c>
      <c r="D28" s="13" t="s">
        <v>220</v>
      </c>
      <c r="E28" s="13" t="s">
        <v>220</v>
      </c>
      <c r="F28" s="9">
        <v>1000</v>
      </c>
      <c r="G28" s="13" t="s">
        <v>220</v>
      </c>
      <c r="H28" s="13" t="s">
        <v>220</v>
      </c>
      <c r="I28" s="204" t="e">
        <f t="shared" si="7"/>
        <v>#VALUE!</v>
      </c>
      <c r="J28" s="204" t="e">
        <f t="shared" si="8"/>
        <v>#VALUE!</v>
      </c>
      <c r="K28" s="204" t="e">
        <f t="shared" si="9"/>
        <v>#VALUE!</v>
      </c>
      <c r="L28" s="204">
        <f t="shared" si="10"/>
        <v>0.5</v>
      </c>
      <c r="M28" s="204" t="e">
        <f t="shared" si="11"/>
        <v>#VALUE!</v>
      </c>
      <c r="N28" s="204" t="e">
        <f t="shared" si="12"/>
        <v>#VALUE!</v>
      </c>
    </row>
    <row r="29" spans="1:14" ht="12.45" customHeight="1">
      <c r="A29" s="140" t="s">
        <v>357</v>
      </c>
      <c r="B29" s="105">
        <v>75000</v>
      </c>
      <c r="C29" s="13" t="s">
        <v>220</v>
      </c>
      <c r="D29" s="13" t="s">
        <v>220</v>
      </c>
      <c r="E29" s="9">
        <v>4000</v>
      </c>
      <c r="F29" s="9">
        <v>5000</v>
      </c>
      <c r="G29" s="13" t="s">
        <v>220</v>
      </c>
      <c r="H29" s="9">
        <v>64000</v>
      </c>
      <c r="I29" s="204" t="e">
        <f t="shared" si="7"/>
        <v>#VALUE!</v>
      </c>
      <c r="J29" s="204" t="e">
        <f t="shared" si="8"/>
        <v>#VALUE!</v>
      </c>
      <c r="K29" s="204">
        <f t="shared" si="9"/>
        <v>5.3333333333333337E-2</v>
      </c>
      <c r="L29" s="204">
        <f t="shared" si="10"/>
        <v>6.6666666666666666E-2</v>
      </c>
      <c r="M29" s="204" t="e">
        <f t="shared" si="11"/>
        <v>#VALUE!</v>
      </c>
      <c r="N29" s="204">
        <f t="shared" si="12"/>
        <v>0.85333333333333339</v>
      </c>
    </row>
    <row r="30" spans="1:14" ht="12.45" customHeight="1">
      <c r="A30" s="140" t="s">
        <v>358</v>
      </c>
      <c r="B30" s="105">
        <v>3000</v>
      </c>
      <c r="C30" s="13" t="s">
        <v>220</v>
      </c>
      <c r="D30" s="13" t="s">
        <v>220</v>
      </c>
      <c r="E30" s="13" t="s">
        <v>220</v>
      </c>
      <c r="F30" s="9">
        <v>2000</v>
      </c>
      <c r="G30" s="13" t="s">
        <v>220</v>
      </c>
      <c r="H30" s="13" t="s">
        <v>220</v>
      </c>
      <c r="I30" s="204" t="e">
        <f t="shared" si="7"/>
        <v>#VALUE!</v>
      </c>
      <c r="J30" s="204" t="e">
        <f t="shared" si="8"/>
        <v>#VALUE!</v>
      </c>
      <c r="K30" s="204" t="e">
        <f t="shared" si="9"/>
        <v>#VALUE!</v>
      </c>
      <c r="L30" s="204">
        <f t="shared" si="10"/>
        <v>0.66666666666666663</v>
      </c>
      <c r="M30" s="204" t="e">
        <f t="shared" si="11"/>
        <v>#VALUE!</v>
      </c>
      <c r="N30" s="204" t="e">
        <f t="shared" si="12"/>
        <v>#VALUE!</v>
      </c>
    </row>
    <row r="31" spans="1:14" ht="24.75" customHeight="1">
      <c r="A31" s="140" t="s">
        <v>359</v>
      </c>
      <c r="B31" s="106">
        <v>17000</v>
      </c>
      <c r="C31" s="16" t="s">
        <v>220</v>
      </c>
      <c r="D31" s="16" t="s">
        <v>220</v>
      </c>
      <c r="E31" s="11">
        <v>1000</v>
      </c>
      <c r="F31" s="11">
        <v>14000</v>
      </c>
      <c r="G31" s="16" t="s">
        <v>220</v>
      </c>
      <c r="H31" s="11">
        <v>1000</v>
      </c>
      <c r="I31" s="204" t="e">
        <f t="shared" si="7"/>
        <v>#VALUE!</v>
      </c>
      <c r="J31" s="204" t="e">
        <f t="shared" si="8"/>
        <v>#VALUE!</v>
      </c>
      <c r="K31" s="204">
        <f t="shared" si="9"/>
        <v>5.8823529411764705E-2</v>
      </c>
      <c r="L31" s="204">
        <f t="shared" si="10"/>
        <v>0.82352941176470584</v>
      </c>
      <c r="M31" s="204" t="e">
        <f t="shared" si="11"/>
        <v>#VALUE!</v>
      </c>
      <c r="N31" s="204">
        <f t="shared" si="12"/>
        <v>5.8823529411764705E-2</v>
      </c>
    </row>
    <row r="32" spans="1:14" ht="24.75" customHeight="1">
      <c r="A32" s="140" t="s">
        <v>360</v>
      </c>
      <c r="B32" s="106">
        <v>110000</v>
      </c>
      <c r="C32" s="16" t="s">
        <v>220</v>
      </c>
      <c r="D32" s="16" t="s">
        <v>220</v>
      </c>
      <c r="E32" s="11">
        <v>3000</v>
      </c>
      <c r="F32" s="11">
        <v>31000</v>
      </c>
      <c r="G32" s="11">
        <v>74000</v>
      </c>
      <c r="H32" s="11">
        <v>2000</v>
      </c>
      <c r="I32" s="204" t="e">
        <f t="shared" si="7"/>
        <v>#VALUE!</v>
      </c>
      <c r="J32" s="204" t="e">
        <f t="shared" si="8"/>
        <v>#VALUE!</v>
      </c>
      <c r="K32" s="204">
        <f t="shared" si="9"/>
        <v>2.7272727272727271E-2</v>
      </c>
      <c r="L32" s="204">
        <f t="shared" si="10"/>
        <v>0.2818181818181818</v>
      </c>
      <c r="M32" s="204">
        <f t="shared" si="11"/>
        <v>0.67272727272727273</v>
      </c>
      <c r="N32" s="204">
        <f t="shared" si="12"/>
        <v>1.8181818181818181E-2</v>
      </c>
    </row>
    <row r="33" spans="1:14" ht="12.45" customHeight="1">
      <c r="A33" s="139" t="s">
        <v>231</v>
      </c>
      <c r="B33" s="105">
        <v>141000</v>
      </c>
      <c r="C33" s="9">
        <v>7000</v>
      </c>
      <c r="D33" s="9">
        <v>12000</v>
      </c>
      <c r="E33" s="9">
        <v>24000</v>
      </c>
      <c r="F33" s="9">
        <v>70000</v>
      </c>
      <c r="G33" s="9">
        <v>18000</v>
      </c>
      <c r="H33" s="9">
        <v>10000</v>
      </c>
      <c r="I33" s="204">
        <f t="shared" si="7"/>
        <v>4.9645390070921988E-2</v>
      </c>
      <c r="J33" s="204">
        <f t="shared" si="8"/>
        <v>8.5106382978723402E-2</v>
      </c>
      <c r="K33" s="204">
        <f t="shared" si="9"/>
        <v>0.1702127659574468</v>
      </c>
      <c r="L33" s="204">
        <f t="shared" si="10"/>
        <v>0.49645390070921985</v>
      </c>
      <c r="M33" s="204">
        <f t="shared" si="11"/>
        <v>0.1276595744680851</v>
      </c>
      <c r="N33" s="204">
        <f t="shared" si="12"/>
        <v>7.0921985815602842E-2</v>
      </c>
    </row>
    <row r="34" spans="1:14" ht="24.75" customHeight="1">
      <c r="A34" s="140" t="s">
        <v>361</v>
      </c>
      <c r="B34" s="106">
        <v>9000</v>
      </c>
      <c r="C34" s="16" t="s">
        <v>191</v>
      </c>
      <c r="D34" s="16" t="s">
        <v>191</v>
      </c>
      <c r="E34" s="16" t="s">
        <v>191</v>
      </c>
      <c r="F34" s="11">
        <v>5000</v>
      </c>
      <c r="G34" s="16" t="s">
        <v>220</v>
      </c>
      <c r="H34" s="16" t="s">
        <v>220</v>
      </c>
      <c r="I34" s="204" t="e">
        <f t="shared" si="7"/>
        <v>#VALUE!</v>
      </c>
      <c r="J34" s="204" t="e">
        <f t="shared" si="8"/>
        <v>#VALUE!</v>
      </c>
      <c r="K34" s="204" t="e">
        <f t="shared" si="9"/>
        <v>#VALUE!</v>
      </c>
      <c r="L34" s="204">
        <f t="shared" si="10"/>
        <v>0.55555555555555558</v>
      </c>
      <c r="M34" s="204" t="e">
        <f t="shared" si="11"/>
        <v>#VALUE!</v>
      </c>
      <c r="N34" s="204" t="e">
        <f t="shared" si="12"/>
        <v>#VALUE!</v>
      </c>
    </row>
    <row r="35" spans="1:14" ht="12.45" customHeight="1">
      <c r="A35" s="140" t="s">
        <v>362</v>
      </c>
      <c r="B35" s="105">
        <v>8000</v>
      </c>
      <c r="C35" s="13" t="s">
        <v>220</v>
      </c>
      <c r="D35" s="9">
        <v>1000</v>
      </c>
      <c r="E35" s="9">
        <v>1000</v>
      </c>
      <c r="F35" s="9">
        <v>6000</v>
      </c>
      <c r="G35" s="13" t="s">
        <v>220</v>
      </c>
      <c r="H35" s="13" t="s">
        <v>220</v>
      </c>
      <c r="I35" s="204" t="e">
        <f t="shared" si="7"/>
        <v>#VALUE!</v>
      </c>
      <c r="J35" s="204">
        <f t="shared" si="8"/>
        <v>0.125</v>
      </c>
      <c r="K35" s="204">
        <f t="shared" si="9"/>
        <v>0.125</v>
      </c>
      <c r="L35" s="204">
        <f t="shared" si="10"/>
        <v>0.75</v>
      </c>
      <c r="M35" s="204" t="e">
        <f t="shared" si="11"/>
        <v>#VALUE!</v>
      </c>
      <c r="N35" s="204" t="e">
        <f t="shared" si="12"/>
        <v>#VALUE!</v>
      </c>
    </row>
    <row r="36" spans="1:14" ht="24.75" customHeight="1">
      <c r="A36" s="140" t="s">
        <v>363</v>
      </c>
      <c r="B36" s="106">
        <v>10000</v>
      </c>
      <c r="C36" s="16" t="s">
        <v>220</v>
      </c>
      <c r="D36" s="11">
        <v>2000</v>
      </c>
      <c r="E36" s="11">
        <v>3000</v>
      </c>
      <c r="F36" s="11">
        <v>3000</v>
      </c>
      <c r="G36" s="16" t="s">
        <v>220</v>
      </c>
      <c r="H36" s="11">
        <v>3000</v>
      </c>
      <c r="I36" s="204" t="e">
        <f t="shared" si="7"/>
        <v>#VALUE!</v>
      </c>
      <c r="J36" s="204">
        <f t="shared" si="8"/>
        <v>0.2</v>
      </c>
      <c r="K36" s="204">
        <f t="shared" si="9"/>
        <v>0.3</v>
      </c>
      <c r="L36" s="204">
        <f t="shared" si="10"/>
        <v>0.3</v>
      </c>
      <c r="M36" s="204" t="e">
        <f t="shared" si="11"/>
        <v>#VALUE!</v>
      </c>
      <c r="N36" s="204">
        <f t="shared" si="12"/>
        <v>0.3</v>
      </c>
    </row>
    <row r="37" spans="1:14" ht="24.75" customHeight="1">
      <c r="A37" s="140" t="s">
        <v>364</v>
      </c>
      <c r="B37" s="106">
        <v>32000</v>
      </c>
      <c r="C37" s="11">
        <v>3000</v>
      </c>
      <c r="D37" s="11">
        <v>5000</v>
      </c>
      <c r="E37" s="11">
        <v>4000</v>
      </c>
      <c r="F37" s="11">
        <v>19000</v>
      </c>
      <c r="G37" s="16" t="s">
        <v>220</v>
      </c>
      <c r="H37" s="11">
        <v>2000</v>
      </c>
      <c r="I37" s="204">
        <f t="shared" si="7"/>
        <v>9.375E-2</v>
      </c>
      <c r="J37" s="204">
        <f t="shared" si="8"/>
        <v>0.15625</v>
      </c>
      <c r="K37" s="204">
        <f t="shared" si="9"/>
        <v>0.125</v>
      </c>
      <c r="L37" s="204">
        <f t="shared" si="10"/>
        <v>0.59375</v>
      </c>
      <c r="M37" s="204" t="e">
        <f t="shared" si="11"/>
        <v>#VALUE!</v>
      </c>
      <c r="N37" s="204">
        <f t="shared" si="12"/>
        <v>6.25E-2</v>
      </c>
    </row>
  </sheetData>
  <mergeCells count="4">
    <mergeCell ref="A1:I1"/>
    <mergeCell ref="A3:A4"/>
    <mergeCell ref="B3:B4"/>
    <mergeCell ref="C3:H3"/>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29"/>
  <sheetViews>
    <sheetView topLeftCell="A16" workbookViewId="0">
      <selection activeCell="A4" sqref="A4:O28"/>
    </sheetView>
  </sheetViews>
  <sheetFormatPr defaultRowHeight="13.2"/>
  <cols>
    <col min="1" max="1" width="32.6640625" customWidth="1"/>
    <col min="2" max="2" width="11.109375" customWidth="1"/>
    <col min="3" max="3" width="14.6640625" customWidth="1"/>
    <col min="4" max="4" width="10" customWidth="1"/>
    <col min="5" max="5" width="19.109375" customWidth="1"/>
    <col min="6" max="6" width="16.6640625" customWidth="1"/>
    <col min="7" max="7" width="10" customWidth="1"/>
    <col min="8" max="8" width="11.109375" customWidth="1"/>
    <col min="9" max="9" width="9.6640625" bestFit="1" customWidth="1"/>
  </cols>
  <sheetData>
    <row r="1" spans="1:14" ht="42.75" customHeight="1">
      <c r="A1" s="321" t="s">
        <v>389</v>
      </c>
      <c r="B1" s="321"/>
      <c r="C1" s="321"/>
      <c r="D1" s="321"/>
      <c r="E1" s="321"/>
      <c r="F1" s="321"/>
      <c r="G1" s="321"/>
      <c r="H1" s="321"/>
      <c r="I1" s="321"/>
    </row>
    <row r="2" spans="1:14" ht="13.95" customHeight="1">
      <c r="A2" s="373" t="s">
        <v>286</v>
      </c>
      <c r="B2" s="374" t="s">
        <v>167</v>
      </c>
      <c r="C2" s="330" t="s">
        <v>390</v>
      </c>
      <c r="D2" s="331"/>
      <c r="E2" s="331"/>
      <c r="F2" s="331"/>
      <c r="G2" s="331"/>
      <c r="H2" s="332"/>
    </row>
    <row r="3" spans="1:14" ht="27.75" customHeight="1">
      <c r="A3" s="373"/>
      <c r="B3" s="375"/>
      <c r="C3" s="5" t="s">
        <v>391</v>
      </c>
      <c r="D3" s="55" t="s">
        <v>392</v>
      </c>
      <c r="E3" s="56" t="s">
        <v>393</v>
      </c>
      <c r="F3" s="56" t="s">
        <v>394</v>
      </c>
      <c r="G3" s="57" t="s">
        <v>395</v>
      </c>
      <c r="H3" s="58" t="s">
        <v>396</v>
      </c>
      <c r="I3" s="227" t="s">
        <v>397</v>
      </c>
      <c r="J3" s="233" t="s">
        <v>398</v>
      </c>
      <c r="K3" s="227" t="s">
        <v>399</v>
      </c>
      <c r="L3" s="227" t="s">
        <v>400</v>
      </c>
      <c r="M3" s="234" t="s">
        <v>401</v>
      </c>
      <c r="N3" s="233" t="s">
        <v>402</v>
      </c>
    </row>
    <row r="4" spans="1:14" ht="12.45" customHeight="1">
      <c r="A4" s="140" t="s">
        <v>365</v>
      </c>
      <c r="B4" s="107">
        <v>1000</v>
      </c>
      <c r="C4" s="19" t="s">
        <v>220</v>
      </c>
      <c r="D4" s="19" t="s">
        <v>220</v>
      </c>
      <c r="E4" s="19" t="s">
        <v>220</v>
      </c>
      <c r="F4" s="19" t="s">
        <v>220</v>
      </c>
      <c r="G4" s="19" t="s">
        <v>220</v>
      </c>
      <c r="H4" s="19" t="s">
        <v>220</v>
      </c>
      <c r="I4" s="204" t="e">
        <f>C4/$B4</f>
        <v>#VALUE!</v>
      </c>
      <c r="J4" s="204" t="e">
        <f t="shared" ref="J4:N4" si="0">D4/$B4</f>
        <v>#VALUE!</v>
      </c>
      <c r="K4" s="204" t="e">
        <f t="shared" si="0"/>
        <v>#VALUE!</v>
      </c>
      <c r="L4" s="204" t="e">
        <f t="shared" si="0"/>
        <v>#VALUE!</v>
      </c>
      <c r="M4" s="204" t="e">
        <f t="shared" si="0"/>
        <v>#VALUE!</v>
      </c>
      <c r="N4" s="204" t="e">
        <f t="shared" si="0"/>
        <v>#VALUE!</v>
      </c>
    </row>
    <row r="5" spans="1:14" ht="12.45" customHeight="1">
      <c r="A5" s="140" t="s">
        <v>366</v>
      </c>
      <c r="B5" s="105">
        <v>14000</v>
      </c>
      <c r="C5" s="13" t="s">
        <v>220</v>
      </c>
      <c r="D5" s="9">
        <v>2000</v>
      </c>
      <c r="E5" s="9">
        <v>2000</v>
      </c>
      <c r="F5" s="9">
        <v>10000</v>
      </c>
      <c r="G5" s="13" t="s">
        <v>220</v>
      </c>
      <c r="H5" s="13" t="s">
        <v>222</v>
      </c>
      <c r="I5" s="204" t="e">
        <f t="shared" ref="I5:I22" si="1">C5/$B5</f>
        <v>#VALUE!</v>
      </c>
      <c r="J5" s="204">
        <f t="shared" ref="J5:J22" si="2">D5/$B5</f>
        <v>0.14285714285714285</v>
      </c>
      <c r="K5" s="204">
        <f t="shared" ref="K5:K22" si="3">E5/$B5</f>
        <v>0.14285714285714285</v>
      </c>
      <c r="L5" s="204">
        <f t="shared" ref="L5:L22" si="4">F5/$B5</f>
        <v>0.7142857142857143</v>
      </c>
      <c r="M5" s="204" t="e">
        <f t="shared" ref="M5:M22" si="5">G5/$B5</f>
        <v>#VALUE!</v>
      </c>
      <c r="N5" s="204" t="e">
        <f t="shared" ref="N5:N22" si="6">H5/$B5</f>
        <v>#VALUE!</v>
      </c>
    </row>
    <row r="6" spans="1:14" ht="12.45" customHeight="1">
      <c r="A6" s="140" t="s">
        <v>367</v>
      </c>
      <c r="B6" s="105">
        <v>32000</v>
      </c>
      <c r="C6" s="9">
        <v>1000</v>
      </c>
      <c r="D6" s="9">
        <v>2000</v>
      </c>
      <c r="E6" s="9">
        <v>6000</v>
      </c>
      <c r="F6" s="9">
        <v>18000</v>
      </c>
      <c r="G6" s="13" t="s">
        <v>220</v>
      </c>
      <c r="H6" s="9">
        <v>4000</v>
      </c>
      <c r="I6" s="204">
        <f t="shared" si="1"/>
        <v>3.125E-2</v>
      </c>
      <c r="J6" s="204">
        <f t="shared" si="2"/>
        <v>6.25E-2</v>
      </c>
      <c r="K6" s="204">
        <f t="shared" si="3"/>
        <v>0.1875</v>
      </c>
      <c r="L6" s="204">
        <f t="shared" si="4"/>
        <v>0.5625</v>
      </c>
      <c r="M6" s="204" t="e">
        <f t="shared" si="5"/>
        <v>#VALUE!</v>
      </c>
      <c r="N6" s="204">
        <f t="shared" si="6"/>
        <v>0.125</v>
      </c>
    </row>
    <row r="7" spans="1:14" ht="24.75" customHeight="1">
      <c r="A7" s="140" t="s">
        <v>368</v>
      </c>
      <c r="B7" s="106">
        <v>34000</v>
      </c>
      <c r="C7" s="16" t="s">
        <v>220</v>
      </c>
      <c r="D7" s="16" t="s">
        <v>220</v>
      </c>
      <c r="E7" s="11">
        <v>6000</v>
      </c>
      <c r="F7" s="11">
        <v>11000</v>
      </c>
      <c r="G7" s="11">
        <v>17000</v>
      </c>
      <c r="H7" s="16" t="s">
        <v>222</v>
      </c>
      <c r="I7" s="204" t="e">
        <f t="shared" si="1"/>
        <v>#VALUE!</v>
      </c>
      <c r="J7" s="204" t="e">
        <f t="shared" si="2"/>
        <v>#VALUE!</v>
      </c>
      <c r="K7" s="204">
        <f t="shared" si="3"/>
        <v>0.17647058823529413</v>
      </c>
      <c r="L7" s="204">
        <f t="shared" si="4"/>
        <v>0.3235294117647059</v>
      </c>
      <c r="M7" s="204">
        <f t="shared" si="5"/>
        <v>0.5</v>
      </c>
      <c r="N7" s="204" t="e">
        <f t="shared" si="6"/>
        <v>#VALUE!</v>
      </c>
    </row>
    <row r="8" spans="1:14" ht="12.45" customHeight="1">
      <c r="A8" s="138" t="s">
        <v>175</v>
      </c>
      <c r="B8" s="105">
        <v>374000</v>
      </c>
      <c r="C8" s="9">
        <v>11000</v>
      </c>
      <c r="D8" s="9">
        <v>6000</v>
      </c>
      <c r="E8" s="9">
        <v>60000</v>
      </c>
      <c r="F8" s="9">
        <v>74000</v>
      </c>
      <c r="G8" s="9">
        <v>53000</v>
      </c>
      <c r="H8" s="9">
        <v>169000</v>
      </c>
      <c r="I8" s="204">
        <f t="shared" si="1"/>
        <v>2.9411764705882353E-2</v>
      </c>
      <c r="J8" s="204">
        <f t="shared" si="2"/>
        <v>1.6042780748663103E-2</v>
      </c>
      <c r="K8" s="204">
        <f t="shared" si="3"/>
        <v>0.16042780748663102</v>
      </c>
      <c r="L8" s="204">
        <f t="shared" si="4"/>
        <v>0.19786096256684493</v>
      </c>
      <c r="M8" s="204">
        <f t="shared" si="5"/>
        <v>0.14171122994652408</v>
      </c>
      <c r="N8" s="204">
        <f t="shared" si="6"/>
        <v>0.45187165775401067</v>
      </c>
    </row>
    <row r="9" spans="1:14" ht="12.45" customHeight="1">
      <c r="A9" s="139" t="s">
        <v>369</v>
      </c>
      <c r="B9" s="105">
        <v>237000</v>
      </c>
      <c r="C9" s="13" t="s">
        <v>220</v>
      </c>
      <c r="D9" s="13" t="s">
        <v>220</v>
      </c>
      <c r="E9" s="9">
        <v>15000</v>
      </c>
      <c r="F9" s="9">
        <v>32000</v>
      </c>
      <c r="G9" s="9">
        <v>29000</v>
      </c>
      <c r="H9" s="9">
        <v>159000</v>
      </c>
      <c r="I9" s="204" t="e">
        <f t="shared" si="1"/>
        <v>#VALUE!</v>
      </c>
      <c r="J9" s="204" t="e">
        <f t="shared" si="2"/>
        <v>#VALUE!</v>
      </c>
      <c r="K9" s="204">
        <f t="shared" si="3"/>
        <v>6.3291139240506333E-2</v>
      </c>
      <c r="L9" s="204">
        <f t="shared" si="4"/>
        <v>0.13502109704641349</v>
      </c>
      <c r="M9" s="204">
        <f t="shared" si="5"/>
        <v>0.12236286919831224</v>
      </c>
      <c r="N9" s="204">
        <f t="shared" si="6"/>
        <v>0.67088607594936711</v>
      </c>
    </row>
    <row r="10" spans="1:14" ht="12.45" customHeight="1">
      <c r="A10" s="139" t="s">
        <v>370</v>
      </c>
      <c r="B10" s="105">
        <v>63000</v>
      </c>
      <c r="C10" s="9">
        <v>3000</v>
      </c>
      <c r="D10" s="9">
        <v>2000</v>
      </c>
      <c r="E10" s="9">
        <v>39000</v>
      </c>
      <c r="F10" s="9">
        <v>16000</v>
      </c>
      <c r="G10" s="13" t="s">
        <v>220</v>
      </c>
      <c r="H10" s="9">
        <v>5000</v>
      </c>
      <c r="I10" s="204">
        <f t="shared" si="1"/>
        <v>4.7619047619047616E-2</v>
      </c>
      <c r="J10" s="204">
        <f t="shared" si="2"/>
        <v>3.1746031746031744E-2</v>
      </c>
      <c r="K10" s="204">
        <f t="shared" si="3"/>
        <v>0.61904761904761907</v>
      </c>
      <c r="L10" s="204">
        <f t="shared" si="4"/>
        <v>0.25396825396825395</v>
      </c>
      <c r="M10" s="204" t="e">
        <f t="shared" si="5"/>
        <v>#VALUE!</v>
      </c>
      <c r="N10" s="204">
        <f t="shared" si="6"/>
        <v>7.9365079365079361E-2</v>
      </c>
    </row>
    <row r="11" spans="1:14" ht="12.45" customHeight="1">
      <c r="A11" s="139" t="s">
        <v>371</v>
      </c>
      <c r="B11" s="105">
        <v>25000</v>
      </c>
      <c r="C11" s="13" t="s">
        <v>220</v>
      </c>
      <c r="D11" s="13" t="s">
        <v>220</v>
      </c>
      <c r="E11" s="13" t="s">
        <v>220</v>
      </c>
      <c r="F11" s="13" t="s">
        <v>220</v>
      </c>
      <c r="G11" s="9">
        <v>24000</v>
      </c>
      <c r="H11" s="13" t="s">
        <v>191</v>
      </c>
      <c r="I11" s="204" t="e">
        <f t="shared" si="1"/>
        <v>#VALUE!</v>
      </c>
      <c r="J11" s="204" t="e">
        <f t="shared" si="2"/>
        <v>#VALUE!</v>
      </c>
      <c r="K11" s="204" t="e">
        <f t="shared" si="3"/>
        <v>#VALUE!</v>
      </c>
      <c r="L11" s="204" t="e">
        <f t="shared" si="4"/>
        <v>#VALUE!</v>
      </c>
      <c r="M11" s="204">
        <f t="shared" si="5"/>
        <v>0.96</v>
      </c>
      <c r="N11" s="204" t="e">
        <f t="shared" si="6"/>
        <v>#VALUE!</v>
      </c>
    </row>
    <row r="12" spans="1:14" ht="24.75" customHeight="1">
      <c r="A12" s="139" t="s">
        <v>372</v>
      </c>
      <c r="B12" s="106">
        <v>46000</v>
      </c>
      <c r="C12" s="11">
        <v>7000</v>
      </c>
      <c r="D12" s="11">
        <v>3000</v>
      </c>
      <c r="E12" s="11">
        <v>7000</v>
      </c>
      <c r="F12" s="11">
        <v>25000</v>
      </c>
      <c r="G12" s="16" t="s">
        <v>220</v>
      </c>
      <c r="H12" s="11">
        <v>4000</v>
      </c>
      <c r="I12" s="204">
        <f t="shared" si="1"/>
        <v>0.15217391304347827</v>
      </c>
      <c r="J12" s="204">
        <f t="shared" si="2"/>
        <v>6.5217391304347824E-2</v>
      </c>
      <c r="K12" s="204">
        <f t="shared" si="3"/>
        <v>0.15217391304347827</v>
      </c>
      <c r="L12" s="204">
        <f t="shared" si="4"/>
        <v>0.54347826086956519</v>
      </c>
      <c r="M12" s="204" t="e">
        <f t="shared" si="5"/>
        <v>#VALUE!</v>
      </c>
      <c r="N12" s="204">
        <f t="shared" si="6"/>
        <v>8.6956521739130432E-2</v>
      </c>
    </row>
    <row r="13" spans="1:14" ht="12.45" customHeight="1">
      <c r="A13" s="139" t="s">
        <v>373</v>
      </c>
      <c r="B13" s="105">
        <v>2000</v>
      </c>
      <c r="C13" s="13" t="s">
        <v>220</v>
      </c>
      <c r="D13" s="13" t="s">
        <v>220</v>
      </c>
      <c r="E13" s="13" t="s">
        <v>220</v>
      </c>
      <c r="F13" s="13" t="s">
        <v>191</v>
      </c>
      <c r="G13" s="13" t="s">
        <v>220</v>
      </c>
      <c r="H13" s="13" t="s">
        <v>220</v>
      </c>
      <c r="I13" s="204" t="e">
        <f t="shared" si="1"/>
        <v>#VALUE!</v>
      </c>
      <c r="J13" s="204" t="e">
        <f t="shared" si="2"/>
        <v>#VALUE!</v>
      </c>
      <c r="K13" s="204" t="e">
        <f t="shared" si="3"/>
        <v>#VALUE!</v>
      </c>
      <c r="L13" s="204" t="e">
        <f t="shared" si="4"/>
        <v>#VALUE!</v>
      </c>
      <c r="M13" s="204" t="e">
        <f t="shared" si="5"/>
        <v>#VALUE!</v>
      </c>
      <c r="N13" s="204" t="e">
        <f t="shared" si="6"/>
        <v>#VALUE!</v>
      </c>
    </row>
    <row r="14" spans="1:14" ht="12.45" customHeight="1">
      <c r="A14" s="138" t="s">
        <v>176</v>
      </c>
      <c r="B14" s="105">
        <v>805000</v>
      </c>
      <c r="C14" s="9">
        <v>10000</v>
      </c>
      <c r="D14" s="9">
        <v>10000</v>
      </c>
      <c r="E14" s="9">
        <v>254000</v>
      </c>
      <c r="F14" s="9">
        <v>124000</v>
      </c>
      <c r="G14" s="9">
        <v>264000</v>
      </c>
      <c r="H14" s="9">
        <v>143000</v>
      </c>
      <c r="I14" s="204">
        <f t="shared" si="1"/>
        <v>1.2422360248447204E-2</v>
      </c>
      <c r="J14" s="204">
        <f t="shared" si="2"/>
        <v>1.2422360248447204E-2</v>
      </c>
      <c r="K14" s="204">
        <f t="shared" si="3"/>
        <v>0.31552795031055902</v>
      </c>
      <c r="L14" s="204">
        <f t="shared" si="4"/>
        <v>0.15403726708074533</v>
      </c>
      <c r="M14" s="204">
        <f t="shared" si="5"/>
        <v>0.3279503105590062</v>
      </c>
      <c r="N14" s="204">
        <f t="shared" si="6"/>
        <v>0.17763975155279504</v>
      </c>
    </row>
    <row r="15" spans="1:14" ht="12.45" customHeight="1">
      <c r="A15" s="139" t="s">
        <v>374</v>
      </c>
      <c r="B15" s="105">
        <v>212000</v>
      </c>
      <c r="C15" s="9">
        <v>4000</v>
      </c>
      <c r="D15" s="9">
        <v>3000</v>
      </c>
      <c r="E15" s="9">
        <v>140000</v>
      </c>
      <c r="F15" s="9">
        <v>36000</v>
      </c>
      <c r="G15" s="13" t="s">
        <v>191</v>
      </c>
      <c r="H15" s="9">
        <v>23000</v>
      </c>
      <c r="I15" s="204">
        <f t="shared" si="1"/>
        <v>1.8867924528301886E-2</v>
      </c>
      <c r="J15" s="204">
        <f t="shared" si="2"/>
        <v>1.4150943396226415E-2</v>
      </c>
      <c r="K15" s="204">
        <f t="shared" si="3"/>
        <v>0.660377358490566</v>
      </c>
      <c r="L15" s="204">
        <f t="shared" si="4"/>
        <v>0.16981132075471697</v>
      </c>
      <c r="M15" s="204" t="e">
        <f t="shared" si="5"/>
        <v>#VALUE!</v>
      </c>
      <c r="N15" s="204">
        <f t="shared" si="6"/>
        <v>0.10849056603773585</v>
      </c>
    </row>
    <row r="16" spans="1:14" ht="24.75" customHeight="1">
      <c r="A16" s="139" t="s">
        <v>406</v>
      </c>
      <c r="B16" s="106">
        <v>116000</v>
      </c>
      <c r="C16" s="16" t="s">
        <v>191</v>
      </c>
      <c r="D16" s="11">
        <v>3000</v>
      </c>
      <c r="E16" s="11">
        <v>50000</v>
      </c>
      <c r="F16" s="11">
        <v>25000</v>
      </c>
      <c r="G16" s="11">
        <v>4000</v>
      </c>
      <c r="H16" s="11">
        <v>31000</v>
      </c>
      <c r="I16" s="204" t="e">
        <f t="shared" si="1"/>
        <v>#VALUE!</v>
      </c>
      <c r="J16" s="204">
        <f t="shared" si="2"/>
        <v>2.5862068965517241E-2</v>
      </c>
      <c r="K16" s="204">
        <f t="shared" si="3"/>
        <v>0.43103448275862066</v>
      </c>
      <c r="L16" s="204">
        <f t="shared" si="4"/>
        <v>0.21551724137931033</v>
      </c>
      <c r="M16" s="204">
        <f t="shared" si="5"/>
        <v>3.4482758620689655E-2</v>
      </c>
      <c r="N16" s="204">
        <f t="shared" si="6"/>
        <v>0.26724137931034481</v>
      </c>
    </row>
    <row r="17" spans="1:14" ht="12.45" customHeight="1">
      <c r="A17" s="139" t="s">
        <v>376</v>
      </c>
      <c r="B17" s="105">
        <v>27000</v>
      </c>
      <c r="C17" s="13" t="s">
        <v>220</v>
      </c>
      <c r="D17" s="13" t="s">
        <v>220</v>
      </c>
      <c r="E17" s="13" t="s">
        <v>191</v>
      </c>
      <c r="F17" s="13" t="s">
        <v>220</v>
      </c>
      <c r="G17" s="9">
        <v>24000</v>
      </c>
      <c r="H17" s="13" t="s">
        <v>220</v>
      </c>
      <c r="I17" s="204" t="e">
        <f t="shared" si="1"/>
        <v>#VALUE!</v>
      </c>
      <c r="J17" s="204" t="e">
        <f t="shared" si="2"/>
        <v>#VALUE!</v>
      </c>
      <c r="K17" s="204" t="e">
        <f t="shared" si="3"/>
        <v>#VALUE!</v>
      </c>
      <c r="L17" s="204" t="e">
        <f t="shared" si="4"/>
        <v>#VALUE!</v>
      </c>
      <c r="M17" s="204">
        <f t="shared" si="5"/>
        <v>0.88888888888888884</v>
      </c>
      <c r="N17" s="204" t="e">
        <f t="shared" si="6"/>
        <v>#VALUE!</v>
      </c>
    </row>
    <row r="18" spans="1:14" ht="24.75" customHeight="1">
      <c r="A18" s="139" t="s">
        <v>377</v>
      </c>
      <c r="B18" s="106">
        <v>230000</v>
      </c>
      <c r="C18" s="16" t="s">
        <v>220</v>
      </c>
      <c r="D18" s="16" t="s">
        <v>220</v>
      </c>
      <c r="E18" s="11">
        <v>12000</v>
      </c>
      <c r="F18" s="11">
        <v>30000</v>
      </c>
      <c r="G18" s="11">
        <v>183000</v>
      </c>
      <c r="H18" s="11">
        <v>4000</v>
      </c>
      <c r="I18" s="204" t="e">
        <f t="shared" si="1"/>
        <v>#VALUE!</v>
      </c>
      <c r="J18" s="204" t="e">
        <f t="shared" si="2"/>
        <v>#VALUE!</v>
      </c>
      <c r="K18" s="204">
        <f t="shared" si="3"/>
        <v>5.2173913043478258E-2</v>
      </c>
      <c r="L18" s="204">
        <f t="shared" si="4"/>
        <v>0.13043478260869565</v>
      </c>
      <c r="M18" s="204">
        <f t="shared" si="5"/>
        <v>0.79565217391304344</v>
      </c>
      <c r="N18" s="204">
        <f t="shared" si="6"/>
        <v>1.7391304347826087E-2</v>
      </c>
    </row>
    <row r="19" spans="1:14" ht="24.75" customHeight="1">
      <c r="A19" s="139" t="s">
        <v>378</v>
      </c>
      <c r="B19" s="106">
        <v>62000</v>
      </c>
      <c r="C19" s="16" t="s">
        <v>220</v>
      </c>
      <c r="D19" s="16" t="s">
        <v>220</v>
      </c>
      <c r="E19" s="11">
        <v>16000</v>
      </c>
      <c r="F19" s="16" t="s">
        <v>220</v>
      </c>
      <c r="G19" s="11">
        <v>18000</v>
      </c>
      <c r="H19" s="11">
        <v>23000</v>
      </c>
      <c r="I19" s="204" t="e">
        <f t="shared" si="1"/>
        <v>#VALUE!</v>
      </c>
      <c r="J19" s="204" t="e">
        <f t="shared" si="2"/>
        <v>#VALUE!</v>
      </c>
      <c r="K19" s="204">
        <f t="shared" si="3"/>
        <v>0.25806451612903225</v>
      </c>
      <c r="L19" s="204" t="e">
        <f t="shared" si="4"/>
        <v>#VALUE!</v>
      </c>
      <c r="M19" s="204">
        <f t="shared" si="5"/>
        <v>0.29032258064516131</v>
      </c>
      <c r="N19" s="204">
        <f t="shared" si="6"/>
        <v>0.37096774193548387</v>
      </c>
    </row>
    <row r="20" spans="1:14" ht="24.75" customHeight="1">
      <c r="A20" s="139" t="s">
        <v>379</v>
      </c>
      <c r="B20" s="106">
        <v>23000</v>
      </c>
      <c r="C20" s="16" t="s">
        <v>220</v>
      </c>
      <c r="D20" s="16" t="s">
        <v>220</v>
      </c>
      <c r="E20" s="11">
        <v>16000</v>
      </c>
      <c r="F20" s="11">
        <v>4000</v>
      </c>
      <c r="G20" s="16" t="s">
        <v>220</v>
      </c>
      <c r="H20" s="11">
        <v>2000</v>
      </c>
      <c r="I20" s="204" t="e">
        <f t="shared" si="1"/>
        <v>#VALUE!</v>
      </c>
      <c r="J20" s="204" t="e">
        <f t="shared" si="2"/>
        <v>#VALUE!</v>
      </c>
      <c r="K20" s="204">
        <f t="shared" si="3"/>
        <v>0.69565217391304346</v>
      </c>
      <c r="L20" s="204">
        <f t="shared" si="4"/>
        <v>0.17391304347826086</v>
      </c>
      <c r="M20" s="204" t="e">
        <f t="shared" si="5"/>
        <v>#VALUE!</v>
      </c>
      <c r="N20" s="204">
        <f t="shared" si="6"/>
        <v>8.6956521739130432E-2</v>
      </c>
    </row>
    <row r="21" spans="1:14" ht="24.75" customHeight="1">
      <c r="A21" s="139" t="s">
        <v>380</v>
      </c>
      <c r="B21" s="106">
        <v>38000</v>
      </c>
      <c r="C21" s="16" t="s">
        <v>220</v>
      </c>
      <c r="D21" s="16" t="s">
        <v>220</v>
      </c>
      <c r="E21" s="16" t="s">
        <v>191</v>
      </c>
      <c r="F21" s="11">
        <v>8000</v>
      </c>
      <c r="G21" s="16" t="s">
        <v>220</v>
      </c>
      <c r="H21" s="11">
        <v>22000</v>
      </c>
      <c r="I21" s="204" t="e">
        <f t="shared" si="1"/>
        <v>#VALUE!</v>
      </c>
      <c r="J21" s="204" t="e">
        <f t="shared" si="2"/>
        <v>#VALUE!</v>
      </c>
      <c r="K21" s="204" t="e">
        <f t="shared" si="3"/>
        <v>#VALUE!</v>
      </c>
      <c r="L21" s="204">
        <f t="shared" si="4"/>
        <v>0.21052631578947367</v>
      </c>
      <c r="M21" s="204" t="e">
        <f t="shared" si="5"/>
        <v>#VALUE!</v>
      </c>
      <c r="N21" s="204">
        <f t="shared" si="6"/>
        <v>0.57894736842105265</v>
      </c>
    </row>
    <row r="22" spans="1:14" ht="12.45" customHeight="1">
      <c r="A22" s="139" t="s">
        <v>381</v>
      </c>
      <c r="B22" s="105">
        <v>97000</v>
      </c>
      <c r="C22" s="13" t="s">
        <v>191</v>
      </c>
      <c r="D22" s="13" t="s">
        <v>220</v>
      </c>
      <c r="E22" s="9">
        <v>11000</v>
      </c>
      <c r="F22" s="9">
        <v>17000</v>
      </c>
      <c r="G22" s="9">
        <v>30000</v>
      </c>
      <c r="H22" s="9">
        <v>38000</v>
      </c>
      <c r="I22" s="204" t="e">
        <f t="shared" si="1"/>
        <v>#VALUE!</v>
      </c>
      <c r="J22" s="204" t="e">
        <f t="shared" si="2"/>
        <v>#VALUE!</v>
      </c>
      <c r="K22" s="204">
        <f t="shared" si="3"/>
        <v>0.1134020618556701</v>
      </c>
      <c r="L22" s="204">
        <f t="shared" si="4"/>
        <v>0.17525773195876287</v>
      </c>
      <c r="M22" s="204">
        <f t="shared" si="5"/>
        <v>0.30927835051546393</v>
      </c>
      <c r="N22" s="204">
        <f t="shared" si="6"/>
        <v>0.39175257731958762</v>
      </c>
    </row>
    <row r="23" spans="1:14" ht="12.45" customHeight="1">
      <c r="A23" s="111" t="s">
        <v>223</v>
      </c>
      <c r="B23" s="109">
        <v>3246000</v>
      </c>
      <c r="C23" s="104">
        <v>7000</v>
      </c>
      <c r="D23" s="104">
        <v>5000</v>
      </c>
      <c r="E23" s="104">
        <v>450000</v>
      </c>
      <c r="F23" s="104">
        <v>88000</v>
      </c>
      <c r="G23" s="104">
        <v>110000</v>
      </c>
      <c r="H23" s="104">
        <v>2587000</v>
      </c>
    </row>
    <row r="24" spans="1:14" ht="12.45" customHeight="1">
      <c r="A24" s="112" t="s">
        <v>174</v>
      </c>
      <c r="B24" s="105">
        <v>82000</v>
      </c>
      <c r="C24" s="9">
        <v>6000</v>
      </c>
      <c r="D24" s="13" t="s">
        <v>191</v>
      </c>
      <c r="E24" s="9">
        <v>13000</v>
      </c>
      <c r="F24" s="9">
        <v>15000</v>
      </c>
      <c r="G24" s="9">
        <v>8000</v>
      </c>
      <c r="H24" s="9">
        <v>39000</v>
      </c>
    </row>
    <row r="25" spans="1:14" ht="12.45" customHeight="1">
      <c r="A25" s="112" t="s">
        <v>175</v>
      </c>
      <c r="B25" s="105">
        <v>1538000</v>
      </c>
      <c r="C25" s="13" t="s">
        <v>220</v>
      </c>
      <c r="D25" s="13" t="s">
        <v>220</v>
      </c>
      <c r="E25" s="9">
        <v>65000</v>
      </c>
      <c r="F25" s="9">
        <v>35000</v>
      </c>
      <c r="G25" s="9">
        <v>48000</v>
      </c>
      <c r="H25" s="9">
        <v>1389000</v>
      </c>
    </row>
    <row r="26" spans="1:14" ht="12.45" customHeight="1">
      <c r="A26" s="112" t="s">
        <v>176</v>
      </c>
      <c r="B26" s="110">
        <v>1626000</v>
      </c>
      <c r="C26" s="40" t="s">
        <v>220</v>
      </c>
      <c r="D26" s="21">
        <v>3000</v>
      </c>
      <c r="E26" s="21">
        <v>371000</v>
      </c>
      <c r="F26" s="21">
        <v>39000</v>
      </c>
      <c r="G26" s="21">
        <v>54000</v>
      </c>
      <c r="H26" s="21">
        <v>1159000</v>
      </c>
    </row>
    <row r="27" spans="1:14" ht="21.45" customHeight="1">
      <c r="A27" s="344" t="s">
        <v>224</v>
      </c>
      <c r="B27" s="344"/>
      <c r="C27" s="344"/>
      <c r="D27" s="344"/>
      <c r="E27" s="344"/>
      <c r="F27" s="344"/>
      <c r="G27" s="344"/>
      <c r="H27" s="344"/>
      <c r="I27" s="344"/>
    </row>
    <row r="28" spans="1:14" ht="141.44999999999999" customHeight="1">
      <c r="A28" s="321" t="s">
        <v>407</v>
      </c>
      <c r="B28" s="321"/>
      <c r="C28" s="321"/>
      <c r="D28" s="321"/>
      <c r="E28" s="321"/>
      <c r="F28" s="321"/>
      <c r="G28" s="321"/>
      <c r="H28" s="321"/>
      <c r="I28" s="321"/>
    </row>
    <row r="29" spans="1:14" ht="1.95" customHeight="1"/>
  </sheetData>
  <mergeCells count="6">
    <mergeCell ref="A28:I28"/>
    <mergeCell ref="A1:I1"/>
    <mergeCell ref="A2:A3"/>
    <mergeCell ref="B2:B3"/>
    <mergeCell ref="C2:H2"/>
    <mergeCell ref="A27:I27"/>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1" t="s">
        <v>408</v>
      </c>
      <c r="B1" s="321"/>
      <c r="C1" s="321"/>
      <c r="D1" s="321"/>
      <c r="E1" s="321"/>
      <c r="F1" s="321"/>
      <c r="G1" s="321"/>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6" t="s">
        <v>415</v>
      </c>
      <c r="B5" s="7">
        <v>51764000</v>
      </c>
      <c r="C5" s="7">
        <v>22804000</v>
      </c>
      <c r="D5" s="7">
        <v>23329000</v>
      </c>
      <c r="E5" s="7">
        <v>4394000</v>
      </c>
      <c r="F5" s="7">
        <v>1236000</v>
      </c>
    </row>
    <row r="6" spans="1:7" ht="12.45" customHeight="1">
      <c r="A6" s="8" t="s">
        <v>174</v>
      </c>
      <c r="B6" s="9">
        <v>7894000</v>
      </c>
      <c r="C6" s="9">
        <v>3493000</v>
      </c>
      <c r="D6" s="9">
        <v>3651000</v>
      </c>
      <c r="E6" s="9">
        <v>617000</v>
      </c>
      <c r="F6" s="9">
        <v>133000</v>
      </c>
    </row>
    <row r="7" spans="1:7" ht="12.45" customHeight="1">
      <c r="A7" s="10" t="s">
        <v>227</v>
      </c>
      <c r="B7" s="9">
        <v>794000</v>
      </c>
      <c r="C7" s="9">
        <v>346000</v>
      </c>
      <c r="D7" s="9">
        <v>371000</v>
      </c>
      <c r="E7" s="9">
        <v>65000</v>
      </c>
      <c r="F7" s="9">
        <v>12000</v>
      </c>
    </row>
    <row r="8" spans="1:7" ht="12.45" customHeight="1">
      <c r="A8" s="12" t="s">
        <v>343</v>
      </c>
      <c r="B8" s="9">
        <v>74000</v>
      </c>
      <c r="C8" s="9">
        <v>30000</v>
      </c>
      <c r="D8" s="9">
        <v>39000</v>
      </c>
      <c r="E8" s="9">
        <v>4000</v>
      </c>
      <c r="F8" s="13" t="s">
        <v>222</v>
      </c>
    </row>
    <row r="9" spans="1:7" ht="12.45" customHeight="1">
      <c r="A9" s="12" t="s">
        <v>344</v>
      </c>
      <c r="B9" s="9">
        <v>572000</v>
      </c>
      <c r="C9" s="9">
        <v>240000</v>
      </c>
      <c r="D9" s="9">
        <v>274000</v>
      </c>
      <c r="E9" s="9">
        <v>50000</v>
      </c>
      <c r="F9" s="9">
        <v>8000</v>
      </c>
    </row>
    <row r="10" spans="1:7" ht="12.45" customHeight="1">
      <c r="A10" s="12" t="s">
        <v>345</v>
      </c>
      <c r="B10" s="9">
        <v>45000</v>
      </c>
      <c r="C10" s="9">
        <v>27000</v>
      </c>
      <c r="D10" s="9">
        <v>14000</v>
      </c>
      <c r="E10" s="9">
        <v>3000</v>
      </c>
      <c r="F10" s="9">
        <v>2000</v>
      </c>
    </row>
    <row r="11" spans="1:7" ht="12.45" customHeight="1">
      <c r="A11" s="12" t="s">
        <v>346</v>
      </c>
      <c r="B11" s="9">
        <v>103000</v>
      </c>
      <c r="C11" s="9">
        <v>49000</v>
      </c>
      <c r="D11" s="9">
        <v>43000</v>
      </c>
      <c r="E11" s="9">
        <v>8000</v>
      </c>
      <c r="F11" s="13" t="s">
        <v>191</v>
      </c>
    </row>
    <row r="12" spans="1:7" ht="12.45" customHeight="1">
      <c r="A12" s="10" t="s">
        <v>228</v>
      </c>
      <c r="B12" s="9">
        <v>4031000</v>
      </c>
      <c r="C12" s="9">
        <v>1736000</v>
      </c>
      <c r="D12" s="9">
        <v>1896000</v>
      </c>
      <c r="E12" s="9">
        <v>332000</v>
      </c>
      <c r="F12" s="9">
        <v>67000</v>
      </c>
    </row>
    <row r="13" spans="1:7" ht="12.45" customHeight="1">
      <c r="A13" s="12" t="s">
        <v>347</v>
      </c>
      <c r="B13" s="9">
        <v>3627000</v>
      </c>
      <c r="C13" s="9">
        <v>1551000</v>
      </c>
      <c r="D13" s="9">
        <v>1729000</v>
      </c>
      <c r="E13" s="9">
        <v>288000</v>
      </c>
      <c r="F13" s="9">
        <v>60000</v>
      </c>
    </row>
    <row r="14" spans="1:7" ht="12.45" customHeight="1">
      <c r="A14" s="12" t="s">
        <v>348</v>
      </c>
      <c r="B14" s="9">
        <v>293000</v>
      </c>
      <c r="C14" s="9">
        <v>133000</v>
      </c>
      <c r="D14" s="9">
        <v>118000</v>
      </c>
      <c r="E14" s="9">
        <v>36000</v>
      </c>
      <c r="F14" s="9">
        <v>6000</v>
      </c>
    </row>
    <row r="15" spans="1:7" ht="24.75" customHeight="1">
      <c r="A15" s="12" t="s">
        <v>349</v>
      </c>
      <c r="B15" s="11">
        <v>111000</v>
      </c>
      <c r="C15" s="11">
        <v>52000</v>
      </c>
      <c r="D15" s="11">
        <v>49000</v>
      </c>
      <c r="E15" s="11">
        <v>8000</v>
      </c>
      <c r="F15" s="16" t="s">
        <v>191</v>
      </c>
    </row>
    <row r="16" spans="1:7" ht="12.45" customHeight="1">
      <c r="A16" s="10" t="s">
        <v>229</v>
      </c>
      <c r="B16" s="9">
        <v>408000</v>
      </c>
      <c r="C16" s="9">
        <v>166000</v>
      </c>
      <c r="D16" s="9">
        <v>202000</v>
      </c>
      <c r="E16" s="9">
        <v>33000</v>
      </c>
      <c r="F16" s="9">
        <v>8000</v>
      </c>
    </row>
    <row r="17" spans="1:6" ht="12.45" customHeight="1">
      <c r="A17" s="12" t="s">
        <v>350</v>
      </c>
      <c r="B17" s="9">
        <v>114000</v>
      </c>
      <c r="C17" s="9">
        <v>39000</v>
      </c>
      <c r="D17" s="9">
        <v>58000</v>
      </c>
      <c r="E17" s="9">
        <v>13000</v>
      </c>
      <c r="F17" s="9">
        <v>4000</v>
      </c>
    </row>
    <row r="18" spans="1:6" ht="12.45" customHeight="1">
      <c r="A18" s="12" t="s">
        <v>351</v>
      </c>
      <c r="B18" s="9">
        <v>91000</v>
      </c>
      <c r="C18" s="9">
        <v>42000</v>
      </c>
      <c r="D18" s="9">
        <v>42000</v>
      </c>
      <c r="E18" s="9">
        <v>5000</v>
      </c>
      <c r="F18" s="9">
        <v>1000</v>
      </c>
    </row>
    <row r="19" spans="1:6" ht="12.45" customHeight="1">
      <c r="A19" s="12" t="s">
        <v>352</v>
      </c>
      <c r="B19" s="9">
        <v>41000</v>
      </c>
      <c r="C19" s="9">
        <v>22000</v>
      </c>
      <c r="D19" s="9">
        <v>17000</v>
      </c>
      <c r="E19" s="9">
        <v>2000</v>
      </c>
      <c r="F19" s="13" t="s">
        <v>220</v>
      </c>
    </row>
    <row r="20" spans="1:6" ht="24.75" customHeight="1">
      <c r="A20" s="12" t="s">
        <v>353</v>
      </c>
      <c r="B20" s="11">
        <v>82000</v>
      </c>
      <c r="C20" s="11">
        <v>29000</v>
      </c>
      <c r="D20" s="11">
        <v>47000</v>
      </c>
      <c r="E20" s="11">
        <v>6000</v>
      </c>
      <c r="F20" s="16" t="s">
        <v>220</v>
      </c>
    </row>
    <row r="21" spans="1:6" ht="24.75" customHeight="1">
      <c r="A21" s="12" t="s">
        <v>354</v>
      </c>
      <c r="B21" s="11">
        <v>80000</v>
      </c>
      <c r="C21" s="11">
        <v>34000</v>
      </c>
      <c r="D21" s="11">
        <v>38000</v>
      </c>
      <c r="E21" s="11">
        <v>6000</v>
      </c>
      <c r="F21" s="16" t="s">
        <v>191</v>
      </c>
    </row>
    <row r="22" spans="1:6" ht="12.45" customHeight="1">
      <c r="A22" s="10" t="s">
        <v>230</v>
      </c>
      <c r="B22" s="9">
        <v>712000</v>
      </c>
      <c r="C22" s="9">
        <v>335000</v>
      </c>
      <c r="D22" s="9">
        <v>313000</v>
      </c>
      <c r="E22" s="9">
        <v>50000</v>
      </c>
      <c r="F22" s="9">
        <v>14000</v>
      </c>
    </row>
    <row r="23" spans="1:6" ht="12.45" customHeight="1">
      <c r="A23" s="12" t="s">
        <v>355</v>
      </c>
      <c r="B23" s="9">
        <v>47000</v>
      </c>
      <c r="C23" s="9">
        <v>31000</v>
      </c>
      <c r="D23" s="9">
        <v>15000</v>
      </c>
      <c r="E23" s="9">
        <v>2000</v>
      </c>
      <c r="F23" s="13" t="s">
        <v>222</v>
      </c>
    </row>
    <row r="24" spans="1:6" ht="12.45" customHeight="1">
      <c r="A24" s="12" t="s">
        <v>356</v>
      </c>
      <c r="B24" s="9">
        <v>39000</v>
      </c>
      <c r="C24" s="9">
        <v>19000</v>
      </c>
      <c r="D24" s="9">
        <v>18000</v>
      </c>
      <c r="E24" s="13" t="s">
        <v>191</v>
      </c>
      <c r="F24" s="13" t="s">
        <v>220</v>
      </c>
    </row>
    <row r="25" spans="1:6" ht="12.45" customHeight="1">
      <c r="A25" s="12" t="s">
        <v>357</v>
      </c>
      <c r="B25" s="9">
        <v>233000</v>
      </c>
      <c r="C25" s="9">
        <v>122000</v>
      </c>
      <c r="D25" s="9">
        <v>97000</v>
      </c>
      <c r="E25" s="9">
        <v>9000</v>
      </c>
      <c r="F25" s="13" t="s">
        <v>191</v>
      </c>
    </row>
    <row r="26" spans="1:6" ht="12.45" customHeight="1">
      <c r="A26" s="12" t="s">
        <v>358</v>
      </c>
      <c r="B26" s="9">
        <v>13000</v>
      </c>
      <c r="C26" s="9">
        <v>6000</v>
      </c>
      <c r="D26" s="9">
        <v>7000</v>
      </c>
      <c r="E26" s="13" t="s">
        <v>220</v>
      </c>
      <c r="F26" s="13" t="s">
        <v>220</v>
      </c>
    </row>
    <row r="27" spans="1:6" ht="12.45" customHeight="1">
      <c r="A27" s="12" t="s">
        <v>359</v>
      </c>
      <c r="B27" s="9">
        <v>191000</v>
      </c>
      <c r="C27" s="9">
        <v>77000</v>
      </c>
      <c r="D27" s="9">
        <v>94000</v>
      </c>
      <c r="E27" s="9">
        <v>17000</v>
      </c>
      <c r="F27" s="9">
        <v>2000</v>
      </c>
    </row>
    <row r="28" spans="1:6" ht="24.75" customHeight="1">
      <c r="A28" s="12" t="s">
        <v>360</v>
      </c>
      <c r="B28" s="11">
        <v>188000</v>
      </c>
      <c r="C28" s="11">
        <v>80000</v>
      </c>
      <c r="D28" s="11">
        <v>82000</v>
      </c>
      <c r="E28" s="11">
        <v>20000</v>
      </c>
      <c r="F28" s="11">
        <v>5000</v>
      </c>
    </row>
    <row r="29" spans="1:6" ht="12.45" customHeight="1">
      <c r="A29" s="10" t="s">
        <v>231</v>
      </c>
      <c r="B29" s="9">
        <v>1949000</v>
      </c>
      <c r="C29" s="9">
        <v>911000</v>
      </c>
      <c r="D29" s="9">
        <v>869000</v>
      </c>
      <c r="E29" s="9">
        <v>137000</v>
      </c>
      <c r="F29" s="9">
        <v>32000</v>
      </c>
    </row>
    <row r="30" spans="1:6" ht="24.75" customHeight="1">
      <c r="A30" s="12" t="s">
        <v>361</v>
      </c>
      <c r="B30" s="11">
        <v>127000</v>
      </c>
      <c r="C30" s="11">
        <v>56000</v>
      </c>
      <c r="D30" s="11">
        <v>60000</v>
      </c>
      <c r="E30" s="11">
        <v>11000</v>
      </c>
      <c r="F30" s="16" t="s">
        <v>222</v>
      </c>
    </row>
    <row r="31" spans="1:6" ht="12.45" customHeight="1">
      <c r="A31" s="12" t="s">
        <v>362</v>
      </c>
      <c r="B31" s="9">
        <v>80000</v>
      </c>
      <c r="C31" s="9">
        <v>38000</v>
      </c>
      <c r="D31" s="9">
        <v>33000</v>
      </c>
      <c r="E31" s="9">
        <v>7000</v>
      </c>
      <c r="F31" s="9">
        <v>2000</v>
      </c>
    </row>
    <row r="32" spans="1:6" ht="12.45" customHeight="1">
      <c r="A32" s="12" t="s">
        <v>363</v>
      </c>
      <c r="B32" s="9">
        <v>303000</v>
      </c>
      <c r="C32" s="9">
        <v>160000</v>
      </c>
      <c r="D32" s="9">
        <v>117000</v>
      </c>
      <c r="E32" s="9">
        <v>23000</v>
      </c>
      <c r="F32" s="9">
        <v>3000</v>
      </c>
    </row>
    <row r="33" spans="1:6" ht="12.45" customHeight="1">
      <c r="A33" s="12" t="s">
        <v>364</v>
      </c>
      <c r="B33" s="9">
        <v>399000</v>
      </c>
      <c r="C33" s="9">
        <v>196000</v>
      </c>
      <c r="D33" s="9">
        <v>177000</v>
      </c>
      <c r="E33" s="9">
        <v>21000</v>
      </c>
      <c r="F33" s="9">
        <v>6000</v>
      </c>
    </row>
    <row r="34" spans="1:6" ht="12.45" customHeight="1">
      <c r="A34" s="12" t="s">
        <v>365</v>
      </c>
      <c r="B34" s="9">
        <v>96000</v>
      </c>
      <c r="C34" s="9">
        <v>42000</v>
      </c>
      <c r="D34" s="9">
        <v>44000</v>
      </c>
      <c r="E34" s="9">
        <v>7000</v>
      </c>
      <c r="F34" s="13" t="s">
        <v>191</v>
      </c>
    </row>
    <row r="35" spans="1:6" ht="12.45" customHeight="1">
      <c r="A35" s="12" t="s">
        <v>366</v>
      </c>
      <c r="B35" s="9">
        <v>388000</v>
      </c>
      <c r="C35" s="9">
        <v>160000</v>
      </c>
      <c r="D35" s="9">
        <v>190000</v>
      </c>
      <c r="E35" s="9">
        <v>31000</v>
      </c>
      <c r="F35" s="9">
        <v>6000</v>
      </c>
    </row>
    <row r="36" spans="1:6" ht="12.45" customHeight="1">
      <c r="A36" s="12" t="s">
        <v>367</v>
      </c>
      <c r="B36" s="9">
        <v>501000</v>
      </c>
      <c r="C36" s="9">
        <v>236000</v>
      </c>
      <c r="D36" s="9">
        <v>220000</v>
      </c>
      <c r="E36" s="9">
        <v>33000</v>
      </c>
      <c r="F36" s="9">
        <v>11000</v>
      </c>
    </row>
    <row r="37" spans="1:6" ht="12.45" customHeight="1">
      <c r="A37" s="12" t="s">
        <v>368</v>
      </c>
      <c r="B37" s="9">
        <v>55000</v>
      </c>
      <c r="C37" s="9">
        <v>22000</v>
      </c>
      <c r="D37" s="9">
        <v>28000</v>
      </c>
      <c r="E37" s="9">
        <v>4000</v>
      </c>
      <c r="F37" s="13" t="s">
        <v>220</v>
      </c>
    </row>
    <row r="38" spans="1:6" ht="12.45" customHeight="1">
      <c r="A38" s="8" t="s">
        <v>175</v>
      </c>
      <c r="B38" s="9">
        <v>9522000</v>
      </c>
      <c r="C38" s="9">
        <v>4272000</v>
      </c>
      <c r="D38" s="9">
        <v>4346000</v>
      </c>
      <c r="E38" s="9">
        <v>706000</v>
      </c>
      <c r="F38" s="9">
        <v>198000</v>
      </c>
    </row>
    <row r="39" spans="1:6" ht="12.45" customHeight="1">
      <c r="A39" s="10" t="s">
        <v>369</v>
      </c>
      <c r="B39" s="9">
        <v>6136000</v>
      </c>
      <c r="C39" s="9">
        <v>2741000</v>
      </c>
      <c r="D39" s="9">
        <v>2787000</v>
      </c>
      <c r="E39" s="9">
        <v>461000</v>
      </c>
      <c r="F39" s="9">
        <v>146000</v>
      </c>
    </row>
    <row r="40" spans="1:6" ht="12.45" customHeight="1">
      <c r="A40" s="10" t="s">
        <v>370</v>
      </c>
      <c r="B40" s="9">
        <v>1135000</v>
      </c>
      <c r="C40" s="9">
        <v>558000</v>
      </c>
      <c r="D40" s="9">
        <v>484000</v>
      </c>
      <c r="E40" s="9">
        <v>74000</v>
      </c>
      <c r="F40" s="9">
        <v>18000</v>
      </c>
    </row>
    <row r="41" spans="1:6" ht="12.45" customHeight="1">
      <c r="A41" s="10" t="s">
        <v>371</v>
      </c>
      <c r="B41" s="9">
        <v>915000</v>
      </c>
      <c r="C41" s="9">
        <v>410000</v>
      </c>
      <c r="D41" s="9">
        <v>429000</v>
      </c>
      <c r="E41" s="9">
        <v>66000</v>
      </c>
      <c r="F41" s="9">
        <v>11000</v>
      </c>
    </row>
    <row r="42" spans="1:6" ht="12.45" customHeight="1">
      <c r="A42" s="10" t="s">
        <v>372</v>
      </c>
      <c r="B42" s="9">
        <v>1088000</v>
      </c>
      <c r="C42" s="9">
        <v>438000</v>
      </c>
      <c r="D42" s="9">
        <v>544000</v>
      </c>
      <c r="E42" s="9">
        <v>84000</v>
      </c>
      <c r="F42" s="9">
        <v>21000</v>
      </c>
    </row>
    <row r="43" spans="1:6" ht="12.45" customHeight="1">
      <c r="A43" s="10" t="s">
        <v>373</v>
      </c>
      <c r="B43" s="9">
        <v>248000</v>
      </c>
      <c r="C43" s="9">
        <v>124000</v>
      </c>
      <c r="D43" s="9">
        <v>101000</v>
      </c>
      <c r="E43" s="9">
        <v>20000</v>
      </c>
      <c r="F43" s="13" t="s">
        <v>191</v>
      </c>
    </row>
    <row r="44" spans="1:6" ht="12.45" customHeight="1">
      <c r="A44" s="8" t="s">
        <v>176</v>
      </c>
      <c r="B44" s="9">
        <v>34349000</v>
      </c>
      <c r="C44" s="9">
        <v>15038000</v>
      </c>
      <c r="D44" s="9">
        <v>15333000</v>
      </c>
      <c r="E44" s="9">
        <v>3072000</v>
      </c>
      <c r="F44" s="9">
        <v>905000</v>
      </c>
    </row>
    <row r="45" spans="1:6" ht="12.45" customHeight="1">
      <c r="A45" s="10" t="s">
        <v>374</v>
      </c>
      <c r="B45" s="9">
        <v>4985000</v>
      </c>
      <c r="C45" s="9">
        <v>2684000</v>
      </c>
      <c r="D45" s="9">
        <v>1907000</v>
      </c>
      <c r="E45" s="9">
        <v>312000</v>
      </c>
      <c r="F45" s="9">
        <v>81000</v>
      </c>
    </row>
    <row r="46" spans="1:6" ht="12.45" customHeight="1">
      <c r="A46" s="10" t="s">
        <v>406</v>
      </c>
      <c r="B46" s="9">
        <v>7868000</v>
      </c>
      <c r="C46" s="9">
        <v>3411000</v>
      </c>
      <c r="D46" s="9">
        <v>3579000</v>
      </c>
      <c r="E46" s="9">
        <v>703000</v>
      </c>
      <c r="F46" s="9">
        <v>175000</v>
      </c>
    </row>
    <row r="47" spans="1:6" ht="12.45" customHeight="1">
      <c r="A47" s="10" t="s">
        <v>376</v>
      </c>
      <c r="B47" s="9">
        <v>3919000</v>
      </c>
      <c r="C47" s="9">
        <v>1572000</v>
      </c>
      <c r="D47" s="9">
        <v>1989000</v>
      </c>
      <c r="E47" s="9">
        <v>285000</v>
      </c>
      <c r="F47" s="9">
        <v>73000</v>
      </c>
    </row>
    <row r="48" spans="1:6" ht="12.45" customHeight="1">
      <c r="A48" s="10" t="s">
        <v>377</v>
      </c>
      <c r="B48" s="9">
        <v>559000</v>
      </c>
      <c r="C48" s="9">
        <v>241000</v>
      </c>
      <c r="D48" s="9">
        <v>272000</v>
      </c>
      <c r="E48" s="9">
        <v>39000</v>
      </c>
      <c r="F48" s="9">
        <v>8000</v>
      </c>
    </row>
    <row r="49" spans="1:6" ht="12.45" customHeight="1">
      <c r="A49" s="10" t="s">
        <v>378</v>
      </c>
      <c r="B49" s="9">
        <v>2072000</v>
      </c>
      <c r="C49" s="9">
        <v>883000</v>
      </c>
      <c r="D49" s="9">
        <v>954000</v>
      </c>
      <c r="E49" s="9">
        <v>182000</v>
      </c>
      <c r="F49" s="9">
        <v>53000</v>
      </c>
    </row>
  </sheetData>
  <mergeCells count="4">
    <mergeCell ref="A1:G1"/>
    <mergeCell ref="A3:A4"/>
    <mergeCell ref="B3:B4"/>
    <mergeCell ref="C3:F3"/>
  </mergeCell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1" t="s">
        <v>408</v>
      </c>
      <c r="B1" s="321"/>
      <c r="C1" s="321"/>
      <c r="D1" s="321"/>
      <c r="E1" s="321"/>
      <c r="F1" s="321"/>
      <c r="G1" s="321"/>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4" t="s">
        <v>379</v>
      </c>
      <c r="B5" s="7">
        <v>4448000</v>
      </c>
      <c r="C5" s="7">
        <v>1893000</v>
      </c>
      <c r="D5" s="7">
        <v>1948000</v>
      </c>
      <c r="E5" s="7">
        <v>468000</v>
      </c>
      <c r="F5" s="7">
        <v>139000</v>
      </c>
    </row>
    <row r="6" spans="1:7" ht="12.45" customHeight="1">
      <c r="A6" s="10" t="s">
        <v>380</v>
      </c>
      <c r="B6" s="9">
        <v>1408000</v>
      </c>
      <c r="C6" s="9">
        <v>603000</v>
      </c>
      <c r="D6" s="9">
        <v>651000</v>
      </c>
      <c r="E6" s="9">
        <v>127000</v>
      </c>
      <c r="F6" s="9">
        <v>27000</v>
      </c>
    </row>
    <row r="7" spans="1:7" ht="12.45" customHeight="1">
      <c r="A7" s="10" t="s">
        <v>381</v>
      </c>
      <c r="B7" s="9">
        <v>9089000</v>
      </c>
      <c r="C7" s="9">
        <v>3753000</v>
      </c>
      <c r="D7" s="9">
        <v>4033000</v>
      </c>
      <c r="E7" s="9">
        <v>956000</v>
      </c>
      <c r="F7" s="9">
        <v>348000</v>
      </c>
    </row>
    <row r="8" spans="1:7" ht="12.45" customHeight="1">
      <c r="A8" s="8" t="s">
        <v>252</v>
      </c>
      <c r="B8" s="9">
        <v>36346000</v>
      </c>
      <c r="C8" s="9">
        <v>15990000</v>
      </c>
      <c r="D8" s="9">
        <v>16185000</v>
      </c>
      <c r="E8" s="9">
        <v>3223000</v>
      </c>
      <c r="F8" s="9">
        <v>949000</v>
      </c>
    </row>
    <row r="9" spans="1:7" ht="12.45" customHeight="1">
      <c r="A9" s="10" t="s">
        <v>174</v>
      </c>
      <c r="B9" s="9">
        <v>5804000</v>
      </c>
      <c r="C9" s="9">
        <v>2535000</v>
      </c>
      <c r="D9" s="9">
        <v>2711000</v>
      </c>
      <c r="E9" s="9">
        <v>459000</v>
      </c>
      <c r="F9" s="9">
        <v>98000</v>
      </c>
    </row>
    <row r="10" spans="1:7" ht="12.45" customHeight="1">
      <c r="A10" s="12" t="s">
        <v>227</v>
      </c>
      <c r="B10" s="9">
        <v>345000</v>
      </c>
      <c r="C10" s="9">
        <v>150000</v>
      </c>
      <c r="D10" s="9">
        <v>161000</v>
      </c>
      <c r="E10" s="9">
        <v>28000</v>
      </c>
      <c r="F10" s="9">
        <v>6000</v>
      </c>
    </row>
    <row r="11" spans="1:7" ht="12.45" customHeight="1">
      <c r="A11" s="15" t="s">
        <v>343</v>
      </c>
      <c r="B11" s="9">
        <v>50000</v>
      </c>
      <c r="C11" s="9">
        <v>21000</v>
      </c>
      <c r="D11" s="9">
        <v>26000</v>
      </c>
      <c r="E11" s="9">
        <v>2000</v>
      </c>
      <c r="F11" s="13" t="s">
        <v>220</v>
      </c>
    </row>
    <row r="12" spans="1:7" ht="12.45" customHeight="1">
      <c r="A12" s="15" t="s">
        <v>344</v>
      </c>
      <c r="B12" s="9">
        <v>283000</v>
      </c>
      <c r="C12" s="9">
        <v>121000</v>
      </c>
      <c r="D12" s="9">
        <v>132000</v>
      </c>
      <c r="E12" s="9">
        <v>25000</v>
      </c>
      <c r="F12" s="9">
        <v>5000</v>
      </c>
    </row>
    <row r="13" spans="1:7" ht="12.45" customHeight="1">
      <c r="A13" s="15" t="s">
        <v>345</v>
      </c>
      <c r="B13" s="9">
        <v>12000</v>
      </c>
      <c r="C13" s="9">
        <v>8000</v>
      </c>
      <c r="D13" s="9">
        <v>3000</v>
      </c>
      <c r="E13" s="13" t="s">
        <v>220</v>
      </c>
      <c r="F13" s="13" t="s">
        <v>220</v>
      </c>
    </row>
    <row r="14" spans="1:7" ht="12.45" customHeight="1">
      <c r="A14" s="15" t="s">
        <v>346</v>
      </c>
      <c r="B14" s="13" t="s">
        <v>220</v>
      </c>
      <c r="C14" s="13" t="s">
        <v>220</v>
      </c>
      <c r="D14" s="13" t="s">
        <v>220</v>
      </c>
      <c r="E14" s="13" t="s">
        <v>220</v>
      </c>
      <c r="F14" s="13" t="s">
        <v>220</v>
      </c>
    </row>
    <row r="15" spans="1:7" ht="12.45" customHeight="1">
      <c r="A15" s="12" t="s">
        <v>228</v>
      </c>
      <c r="B15" s="9">
        <v>3432000</v>
      </c>
      <c r="C15" s="9">
        <v>1447000</v>
      </c>
      <c r="D15" s="9">
        <v>1635000</v>
      </c>
      <c r="E15" s="9">
        <v>289000</v>
      </c>
      <c r="F15" s="9">
        <v>61000</v>
      </c>
    </row>
    <row r="16" spans="1:7" ht="12.45" customHeight="1">
      <c r="A16" s="15" t="s">
        <v>347</v>
      </c>
      <c r="B16" s="9">
        <v>3210000</v>
      </c>
      <c r="C16" s="9">
        <v>1356000</v>
      </c>
      <c r="D16" s="9">
        <v>1540000</v>
      </c>
      <c r="E16" s="9">
        <v>260000</v>
      </c>
      <c r="F16" s="9">
        <v>55000</v>
      </c>
    </row>
    <row r="17" spans="1:6" ht="12.45" customHeight="1">
      <c r="A17" s="15" t="s">
        <v>348</v>
      </c>
      <c r="B17" s="9">
        <v>222000</v>
      </c>
      <c r="C17" s="9">
        <v>92000</v>
      </c>
      <c r="D17" s="9">
        <v>95000</v>
      </c>
      <c r="E17" s="9">
        <v>29000</v>
      </c>
      <c r="F17" s="9">
        <v>6000</v>
      </c>
    </row>
    <row r="18" spans="1:6" ht="24.75" customHeight="1">
      <c r="A18" s="15" t="s">
        <v>349</v>
      </c>
      <c r="B18" s="16" t="s">
        <v>220</v>
      </c>
      <c r="C18" s="16" t="s">
        <v>220</v>
      </c>
      <c r="D18" s="16" t="s">
        <v>220</v>
      </c>
      <c r="E18" s="16" t="s">
        <v>220</v>
      </c>
      <c r="F18" s="16" t="s">
        <v>220</v>
      </c>
    </row>
    <row r="19" spans="1:6" ht="12.45" customHeight="1">
      <c r="A19" s="12" t="s">
        <v>229</v>
      </c>
      <c r="B19" s="9">
        <v>169000</v>
      </c>
      <c r="C19" s="9">
        <v>66000</v>
      </c>
      <c r="D19" s="9">
        <v>87000</v>
      </c>
      <c r="E19" s="9">
        <v>14000</v>
      </c>
      <c r="F19" s="9">
        <v>3000</v>
      </c>
    </row>
    <row r="20" spans="1:6" ht="12.45" customHeight="1">
      <c r="A20" s="15" t="s">
        <v>350</v>
      </c>
      <c r="B20" s="9">
        <v>75000</v>
      </c>
      <c r="C20" s="9">
        <v>27000</v>
      </c>
      <c r="D20" s="9">
        <v>39000</v>
      </c>
      <c r="E20" s="9">
        <v>7000</v>
      </c>
      <c r="F20" s="9">
        <v>1000</v>
      </c>
    </row>
    <row r="21" spans="1:6" ht="12.45" customHeight="1">
      <c r="A21" s="15" t="s">
        <v>351</v>
      </c>
      <c r="B21" s="9">
        <v>52000</v>
      </c>
      <c r="C21" s="9">
        <v>22000</v>
      </c>
      <c r="D21" s="9">
        <v>25000</v>
      </c>
      <c r="E21" s="9">
        <v>4000</v>
      </c>
      <c r="F21" s="9">
        <v>1000</v>
      </c>
    </row>
    <row r="22" spans="1:6" ht="12.45" customHeight="1">
      <c r="A22" s="15" t="s">
        <v>352</v>
      </c>
      <c r="B22" s="9">
        <v>9000</v>
      </c>
      <c r="C22" s="9">
        <v>5000</v>
      </c>
      <c r="D22" s="9">
        <v>3000</v>
      </c>
      <c r="E22" s="13" t="s">
        <v>222</v>
      </c>
      <c r="F22" s="13" t="s">
        <v>220</v>
      </c>
    </row>
    <row r="23" spans="1:6" ht="24.75" customHeight="1">
      <c r="A23" s="15" t="s">
        <v>353</v>
      </c>
      <c r="B23" s="11">
        <v>33000</v>
      </c>
      <c r="C23" s="11">
        <v>12000</v>
      </c>
      <c r="D23" s="11">
        <v>19000</v>
      </c>
      <c r="E23" s="11">
        <v>2000</v>
      </c>
      <c r="F23" s="16" t="s">
        <v>220</v>
      </c>
    </row>
    <row r="24" spans="1:6" ht="24.75" customHeight="1">
      <c r="A24" s="15" t="s">
        <v>354</v>
      </c>
      <c r="B24" s="16" t="s">
        <v>220</v>
      </c>
      <c r="C24" s="16" t="s">
        <v>220</v>
      </c>
      <c r="D24" s="16" t="s">
        <v>220</v>
      </c>
      <c r="E24" s="16" t="s">
        <v>220</v>
      </c>
      <c r="F24" s="16" t="s">
        <v>220</v>
      </c>
    </row>
    <row r="25" spans="1:6" ht="12.45" customHeight="1">
      <c r="A25" s="12" t="s">
        <v>230</v>
      </c>
      <c r="B25" s="9">
        <v>257000</v>
      </c>
      <c r="C25" s="9">
        <v>138000</v>
      </c>
      <c r="D25" s="9">
        <v>104000</v>
      </c>
      <c r="E25" s="9">
        <v>13000</v>
      </c>
      <c r="F25" s="9">
        <v>3000</v>
      </c>
    </row>
    <row r="26" spans="1:6" ht="12.45" customHeight="1">
      <c r="A26" s="15" t="s">
        <v>355</v>
      </c>
      <c r="B26" s="9">
        <v>23000</v>
      </c>
      <c r="C26" s="9">
        <v>15000</v>
      </c>
      <c r="D26" s="9">
        <v>7000</v>
      </c>
      <c r="E26" s="9">
        <v>1000</v>
      </c>
      <c r="F26" s="13" t="s">
        <v>220</v>
      </c>
    </row>
    <row r="27" spans="1:6" ht="12.45" customHeight="1">
      <c r="A27" s="15" t="s">
        <v>356</v>
      </c>
      <c r="B27" s="9">
        <v>14000</v>
      </c>
      <c r="C27" s="9">
        <v>7000</v>
      </c>
      <c r="D27" s="9">
        <v>7000</v>
      </c>
      <c r="E27" s="13" t="s">
        <v>220</v>
      </c>
      <c r="F27" s="13" t="s">
        <v>220</v>
      </c>
    </row>
    <row r="28" spans="1:6" ht="12.45" customHeight="1">
      <c r="A28" s="15" t="s">
        <v>357</v>
      </c>
      <c r="B28" s="9">
        <v>128000</v>
      </c>
      <c r="C28" s="9">
        <v>83000</v>
      </c>
      <c r="D28" s="9">
        <v>38000</v>
      </c>
      <c r="E28" s="9">
        <v>5000</v>
      </c>
      <c r="F28" s="13" t="s">
        <v>220</v>
      </c>
    </row>
    <row r="29" spans="1:6" ht="12.45" customHeight="1">
      <c r="A29" s="15" t="s">
        <v>358</v>
      </c>
      <c r="B29" s="9">
        <v>7000</v>
      </c>
      <c r="C29" s="9">
        <v>2000</v>
      </c>
      <c r="D29" s="9">
        <v>4000</v>
      </c>
      <c r="E29" s="13" t="s">
        <v>220</v>
      </c>
      <c r="F29" s="13" t="s">
        <v>220</v>
      </c>
    </row>
    <row r="30" spans="1:6" ht="12.45" customHeight="1">
      <c r="A30" s="15" t="s">
        <v>359</v>
      </c>
      <c r="B30" s="9">
        <v>86000</v>
      </c>
      <c r="C30" s="9">
        <v>30000</v>
      </c>
      <c r="D30" s="9">
        <v>47000</v>
      </c>
      <c r="E30" s="9">
        <v>7000</v>
      </c>
      <c r="F30" s="13" t="s">
        <v>191</v>
      </c>
    </row>
    <row r="31" spans="1:6" ht="24.75" customHeight="1">
      <c r="A31" s="15" t="s">
        <v>360</v>
      </c>
      <c r="B31" s="16" t="s">
        <v>220</v>
      </c>
      <c r="C31" s="16" t="s">
        <v>220</v>
      </c>
      <c r="D31" s="16" t="s">
        <v>220</v>
      </c>
      <c r="E31" s="16" t="s">
        <v>220</v>
      </c>
      <c r="F31" s="16" t="s">
        <v>220</v>
      </c>
    </row>
    <row r="32" spans="1:6" ht="12.45" customHeight="1">
      <c r="A32" s="12" t="s">
        <v>231</v>
      </c>
      <c r="B32" s="9">
        <v>1600000</v>
      </c>
      <c r="C32" s="9">
        <v>734000</v>
      </c>
      <c r="D32" s="9">
        <v>725000</v>
      </c>
      <c r="E32" s="9">
        <v>115000</v>
      </c>
      <c r="F32" s="9">
        <v>26000</v>
      </c>
    </row>
    <row r="33" spans="1:6" ht="24.75" customHeight="1">
      <c r="A33" s="15" t="s">
        <v>361</v>
      </c>
      <c r="B33" s="11">
        <v>104000</v>
      </c>
      <c r="C33" s="11">
        <v>44000</v>
      </c>
      <c r="D33" s="11">
        <v>49000</v>
      </c>
      <c r="E33" s="11">
        <v>10000</v>
      </c>
      <c r="F33" s="16" t="s">
        <v>220</v>
      </c>
    </row>
    <row r="34" spans="1:6" ht="12.45" customHeight="1">
      <c r="A34" s="15" t="s">
        <v>362</v>
      </c>
      <c r="B34" s="9">
        <v>73000</v>
      </c>
      <c r="C34" s="9">
        <v>35000</v>
      </c>
      <c r="D34" s="9">
        <v>29000</v>
      </c>
      <c r="E34" s="9">
        <v>7000</v>
      </c>
      <c r="F34" s="9">
        <v>2000</v>
      </c>
    </row>
    <row r="35" spans="1:6" ht="12.45" customHeight="1">
      <c r="A35" s="15" t="s">
        <v>363</v>
      </c>
      <c r="B35" s="9">
        <v>207000</v>
      </c>
      <c r="C35" s="9">
        <v>102000</v>
      </c>
      <c r="D35" s="9">
        <v>85000</v>
      </c>
      <c r="E35" s="9">
        <v>18000</v>
      </c>
      <c r="F35" s="9">
        <v>2000</v>
      </c>
    </row>
    <row r="36" spans="1:6" ht="12.45" customHeight="1">
      <c r="A36" s="15" t="s">
        <v>364</v>
      </c>
      <c r="B36" s="9">
        <v>353000</v>
      </c>
      <c r="C36" s="9">
        <v>174000</v>
      </c>
      <c r="D36" s="9">
        <v>153000</v>
      </c>
      <c r="E36" s="9">
        <v>20000</v>
      </c>
      <c r="F36" s="9">
        <v>6000</v>
      </c>
    </row>
    <row r="37" spans="1:6" ht="12.45" customHeight="1">
      <c r="A37" s="15" t="s">
        <v>365</v>
      </c>
      <c r="B37" s="9">
        <v>90000</v>
      </c>
      <c r="C37" s="9">
        <v>39000</v>
      </c>
      <c r="D37" s="9">
        <v>42000</v>
      </c>
      <c r="E37" s="9">
        <v>7000</v>
      </c>
      <c r="F37" s="13" t="s">
        <v>191</v>
      </c>
    </row>
    <row r="38" spans="1:6" ht="12.45" customHeight="1">
      <c r="A38" s="15" t="s">
        <v>366</v>
      </c>
      <c r="B38" s="9">
        <v>349000</v>
      </c>
      <c r="C38" s="9">
        <v>143000</v>
      </c>
      <c r="D38" s="9">
        <v>172000</v>
      </c>
      <c r="E38" s="9">
        <v>28000</v>
      </c>
      <c r="F38" s="9">
        <v>5000</v>
      </c>
    </row>
    <row r="39" spans="1:6" ht="12.45" customHeight="1">
      <c r="A39" s="15" t="s">
        <v>367</v>
      </c>
      <c r="B39" s="9">
        <v>425000</v>
      </c>
      <c r="C39" s="9">
        <v>196000</v>
      </c>
      <c r="D39" s="9">
        <v>195000</v>
      </c>
      <c r="E39" s="9">
        <v>26000</v>
      </c>
      <c r="F39" s="9">
        <v>8000</v>
      </c>
    </row>
    <row r="40" spans="1:6" ht="12.45" customHeight="1">
      <c r="A40" s="15" t="s">
        <v>368</v>
      </c>
      <c r="B40" s="13" t="s">
        <v>220</v>
      </c>
      <c r="C40" s="13" t="s">
        <v>220</v>
      </c>
      <c r="D40" s="13" t="s">
        <v>220</v>
      </c>
      <c r="E40" s="13" t="s">
        <v>220</v>
      </c>
      <c r="F40" s="13" t="s">
        <v>220</v>
      </c>
    </row>
    <row r="41" spans="1:6" ht="12.45" customHeight="1">
      <c r="A41" s="10" t="s">
        <v>175</v>
      </c>
      <c r="B41" s="9">
        <v>6903000</v>
      </c>
      <c r="C41" s="9">
        <v>3082000</v>
      </c>
      <c r="D41" s="9">
        <v>3143000</v>
      </c>
      <c r="E41" s="9">
        <v>521000</v>
      </c>
      <c r="F41" s="9">
        <v>157000</v>
      </c>
    </row>
    <row r="42" spans="1:6" ht="12.45" customHeight="1">
      <c r="A42" s="12" t="s">
        <v>369</v>
      </c>
      <c r="B42" s="9">
        <v>4857000</v>
      </c>
      <c r="C42" s="9">
        <v>2155000</v>
      </c>
      <c r="D42" s="9">
        <v>2210000</v>
      </c>
      <c r="E42" s="9">
        <v>372000</v>
      </c>
      <c r="F42" s="9">
        <v>120000</v>
      </c>
    </row>
    <row r="43" spans="1:6" ht="12.45" customHeight="1">
      <c r="A43" s="12" t="s">
        <v>370</v>
      </c>
      <c r="B43" s="9">
        <v>912000</v>
      </c>
      <c r="C43" s="9">
        <v>454000</v>
      </c>
      <c r="D43" s="9">
        <v>389000</v>
      </c>
      <c r="E43" s="9">
        <v>53000</v>
      </c>
      <c r="F43" s="9">
        <v>16000</v>
      </c>
    </row>
    <row r="44" spans="1:6" ht="12.45" customHeight="1">
      <c r="A44" s="12" t="s">
        <v>371</v>
      </c>
      <c r="B44" s="13" t="s">
        <v>220</v>
      </c>
      <c r="C44" s="13" t="s">
        <v>220</v>
      </c>
      <c r="D44" s="13" t="s">
        <v>220</v>
      </c>
      <c r="E44" s="13" t="s">
        <v>220</v>
      </c>
      <c r="F44" s="13" t="s">
        <v>220</v>
      </c>
    </row>
    <row r="45" spans="1:6" ht="12.45" customHeight="1">
      <c r="A45" s="12" t="s">
        <v>372</v>
      </c>
      <c r="B45" s="9">
        <v>897000</v>
      </c>
      <c r="C45" s="9">
        <v>353000</v>
      </c>
      <c r="D45" s="9">
        <v>450000</v>
      </c>
      <c r="E45" s="9">
        <v>76000</v>
      </c>
      <c r="F45" s="9">
        <v>19000</v>
      </c>
    </row>
    <row r="46" spans="1:6" ht="12.45" customHeight="1">
      <c r="A46" s="12" t="s">
        <v>373</v>
      </c>
      <c r="B46" s="9">
        <v>237000</v>
      </c>
      <c r="C46" s="9">
        <v>121000</v>
      </c>
      <c r="D46" s="9">
        <v>94000</v>
      </c>
      <c r="E46" s="9">
        <v>20000</v>
      </c>
      <c r="F46" s="13" t="s">
        <v>220</v>
      </c>
    </row>
    <row r="47" spans="1:6" ht="12.45" customHeight="1">
      <c r="A47" s="10" t="s">
        <v>176</v>
      </c>
      <c r="B47" s="9">
        <v>23640000</v>
      </c>
      <c r="C47" s="9">
        <v>10373000</v>
      </c>
      <c r="D47" s="9">
        <v>10331000</v>
      </c>
      <c r="E47" s="9">
        <v>2243000</v>
      </c>
      <c r="F47" s="9">
        <v>693000</v>
      </c>
    </row>
    <row r="48" spans="1:6" ht="12.45" customHeight="1">
      <c r="A48" s="12" t="s">
        <v>374</v>
      </c>
      <c r="B48" s="9">
        <v>3966000</v>
      </c>
      <c r="C48" s="9">
        <v>2156000</v>
      </c>
      <c r="D48" s="9">
        <v>1502000</v>
      </c>
      <c r="E48" s="9">
        <v>242000</v>
      </c>
      <c r="F48" s="9">
        <v>66000</v>
      </c>
    </row>
    <row r="49" spans="1:6" ht="12.45" customHeight="1">
      <c r="A49" s="12" t="s">
        <v>406</v>
      </c>
      <c r="B49" s="9">
        <v>6433000</v>
      </c>
      <c r="C49" s="9">
        <v>2716000</v>
      </c>
      <c r="D49" s="9">
        <v>2994000</v>
      </c>
      <c r="E49" s="9">
        <v>578000</v>
      </c>
      <c r="F49" s="9">
        <v>144000</v>
      </c>
    </row>
  </sheetData>
  <mergeCells count="4">
    <mergeCell ref="A1:G1"/>
    <mergeCell ref="A3:A4"/>
    <mergeCell ref="B3:B4"/>
    <mergeCell ref="C3:F3"/>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1" t="s">
        <v>408</v>
      </c>
      <c r="B1" s="321"/>
      <c r="C1" s="321"/>
      <c r="D1" s="321"/>
      <c r="E1" s="321"/>
      <c r="F1" s="321"/>
      <c r="G1" s="321"/>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8" t="s">
        <v>376</v>
      </c>
      <c r="B5" s="19" t="s">
        <v>220</v>
      </c>
      <c r="C5" s="19" t="s">
        <v>220</v>
      </c>
      <c r="D5" s="19" t="s">
        <v>220</v>
      </c>
      <c r="E5" s="19" t="s">
        <v>220</v>
      </c>
      <c r="F5" s="19" t="s">
        <v>220</v>
      </c>
    </row>
    <row r="6" spans="1:7" ht="12.45" customHeight="1">
      <c r="A6" s="12" t="s">
        <v>377</v>
      </c>
      <c r="B6" s="13" t="s">
        <v>220</v>
      </c>
      <c r="C6" s="13" t="s">
        <v>220</v>
      </c>
      <c r="D6" s="13" t="s">
        <v>220</v>
      </c>
      <c r="E6" s="13" t="s">
        <v>220</v>
      </c>
      <c r="F6" s="13" t="s">
        <v>220</v>
      </c>
    </row>
    <row r="7" spans="1:7" ht="12.45" customHeight="1">
      <c r="A7" s="12" t="s">
        <v>378</v>
      </c>
      <c r="B7" s="9">
        <v>1223000</v>
      </c>
      <c r="C7" s="9">
        <v>601000</v>
      </c>
      <c r="D7" s="9">
        <v>499000</v>
      </c>
      <c r="E7" s="9">
        <v>92000</v>
      </c>
      <c r="F7" s="9">
        <v>31000</v>
      </c>
    </row>
    <row r="8" spans="1:7" ht="12.45" customHeight="1">
      <c r="A8" s="12" t="s">
        <v>379</v>
      </c>
      <c r="B8" s="9">
        <v>4274000</v>
      </c>
      <c r="C8" s="9">
        <v>1817000</v>
      </c>
      <c r="D8" s="9">
        <v>1869000</v>
      </c>
      <c r="E8" s="9">
        <v>450000</v>
      </c>
      <c r="F8" s="9">
        <v>138000</v>
      </c>
    </row>
    <row r="9" spans="1:7" ht="12.45" customHeight="1">
      <c r="A9" s="12" t="s">
        <v>380</v>
      </c>
      <c r="B9" s="9">
        <v>1289000</v>
      </c>
      <c r="C9" s="9">
        <v>566000</v>
      </c>
      <c r="D9" s="9">
        <v>596000</v>
      </c>
      <c r="E9" s="9">
        <v>104000</v>
      </c>
      <c r="F9" s="9">
        <v>24000</v>
      </c>
    </row>
    <row r="10" spans="1:7" ht="12.45" customHeight="1">
      <c r="A10" s="12" t="s">
        <v>381</v>
      </c>
      <c r="B10" s="9">
        <v>6452000</v>
      </c>
      <c r="C10" s="9">
        <v>2516000</v>
      </c>
      <c r="D10" s="9">
        <v>2868000</v>
      </c>
      <c r="E10" s="9">
        <v>778000</v>
      </c>
      <c r="F10" s="9">
        <v>290000</v>
      </c>
    </row>
    <row r="11" spans="1:7" ht="12.45" customHeight="1">
      <c r="A11" s="8" t="s">
        <v>253</v>
      </c>
      <c r="B11" s="9">
        <v>9978000</v>
      </c>
      <c r="C11" s="9">
        <v>4189000</v>
      </c>
      <c r="D11" s="9">
        <v>4874000</v>
      </c>
      <c r="E11" s="9">
        <v>746000</v>
      </c>
      <c r="F11" s="9">
        <v>169000</v>
      </c>
    </row>
    <row r="12" spans="1:7" ht="12.45" customHeight="1">
      <c r="A12" s="10" t="s">
        <v>174</v>
      </c>
      <c r="B12" s="9">
        <v>1254000</v>
      </c>
      <c r="C12" s="9">
        <v>533000</v>
      </c>
      <c r="D12" s="9">
        <v>589000</v>
      </c>
      <c r="E12" s="9">
        <v>109000</v>
      </c>
      <c r="F12" s="9">
        <v>22000</v>
      </c>
    </row>
    <row r="13" spans="1:7" ht="12.45" customHeight="1">
      <c r="A13" s="12" t="s">
        <v>227</v>
      </c>
      <c r="B13" s="9">
        <v>323000</v>
      </c>
      <c r="C13" s="9">
        <v>133000</v>
      </c>
      <c r="D13" s="9">
        <v>158000</v>
      </c>
      <c r="E13" s="9">
        <v>28000</v>
      </c>
      <c r="F13" s="9">
        <v>4000</v>
      </c>
    </row>
    <row r="14" spans="1:7" ht="12.45" customHeight="1">
      <c r="A14" s="15" t="s">
        <v>343</v>
      </c>
      <c r="B14" s="9">
        <v>17000</v>
      </c>
      <c r="C14" s="9">
        <v>4000</v>
      </c>
      <c r="D14" s="9">
        <v>11000</v>
      </c>
      <c r="E14" s="9">
        <v>2000</v>
      </c>
      <c r="F14" s="13" t="s">
        <v>220</v>
      </c>
    </row>
    <row r="15" spans="1:7" ht="12.45" customHeight="1">
      <c r="A15" s="15" t="s">
        <v>344</v>
      </c>
      <c r="B15" s="9">
        <v>196000</v>
      </c>
      <c r="C15" s="9">
        <v>73000</v>
      </c>
      <c r="D15" s="9">
        <v>104000</v>
      </c>
      <c r="E15" s="9">
        <v>17000</v>
      </c>
      <c r="F15" s="9">
        <v>1000</v>
      </c>
    </row>
    <row r="16" spans="1:7" ht="12.45" customHeight="1">
      <c r="A16" s="15" t="s">
        <v>345</v>
      </c>
      <c r="B16" s="13" t="s">
        <v>191</v>
      </c>
      <c r="C16" s="13" t="s">
        <v>191</v>
      </c>
      <c r="D16" s="13" t="s">
        <v>220</v>
      </c>
      <c r="E16" s="13" t="s">
        <v>220</v>
      </c>
      <c r="F16" s="13" t="s">
        <v>220</v>
      </c>
    </row>
    <row r="17" spans="1:6" ht="12.45" customHeight="1">
      <c r="A17" s="15" t="s">
        <v>346</v>
      </c>
      <c r="B17" s="9">
        <v>103000</v>
      </c>
      <c r="C17" s="9">
        <v>49000</v>
      </c>
      <c r="D17" s="9">
        <v>43000</v>
      </c>
      <c r="E17" s="9">
        <v>8000</v>
      </c>
      <c r="F17" s="13" t="s">
        <v>191</v>
      </c>
    </row>
    <row r="18" spans="1:6" ht="12.45" customHeight="1">
      <c r="A18" s="12" t="s">
        <v>228</v>
      </c>
      <c r="B18" s="9">
        <v>331000</v>
      </c>
      <c r="C18" s="9">
        <v>142000</v>
      </c>
      <c r="D18" s="9">
        <v>157000</v>
      </c>
      <c r="E18" s="9">
        <v>28000</v>
      </c>
      <c r="F18" s="9">
        <v>4000</v>
      </c>
    </row>
    <row r="19" spans="1:6" ht="12.45" customHeight="1">
      <c r="A19" s="15" t="s">
        <v>347</v>
      </c>
      <c r="B19" s="9">
        <v>194000</v>
      </c>
      <c r="C19" s="9">
        <v>78000</v>
      </c>
      <c r="D19" s="9">
        <v>94000</v>
      </c>
      <c r="E19" s="9">
        <v>19000</v>
      </c>
      <c r="F19" s="9">
        <v>3000</v>
      </c>
    </row>
    <row r="20" spans="1:6" ht="12.45" customHeight="1">
      <c r="A20" s="15" t="s">
        <v>348</v>
      </c>
      <c r="B20" s="9">
        <v>26000</v>
      </c>
      <c r="C20" s="9">
        <v>11000</v>
      </c>
      <c r="D20" s="9">
        <v>13000</v>
      </c>
      <c r="E20" s="9">
        <v>1000</v>
      </c>
      <c r="F20" s="13" t="s">
        <v>220</v>
      </c>
    </row>
    <row r="21" spans="1:6" ht="24.75" customHeight="1">
      <c r="A21" s="15" t="s">
        <v>349</v>
      </c>
      <c r="B21" s="11">
        <v>111000</v>
      </c>
      <c r="C21" s="11">
        <v>52000</v>
      </c>
      <c r="D21" s="11">
        <v>49000</v>
      </c>
      <c r="E21" s="11">
        <v>8000</v>
      </c>
      <c r="F21" s="16" t="s">
        <v>191</v>
      </c>
    </row>
    <row r="22" spans="1:6" ht="12.45" customHeight="1">
      <c r="A22" s="12" t="s">
        <v>229</v>
      </c>
      <c r="B22" s="9">
        <v>140000</v>
      </c>
      <c r="C22" s="9">
        <v>57000</v>
      </c>
      <c r="D22" s="9">
        <v>69000</v>
      </c>
      <c r="E22" s="9">
        <v>11000</v>
      </c>
      <c r="F22" s="9">
        <v>2000</v>
      </c>
    </row>
    <row r="23" spans="1:6" ht="12.45" customHeight="1">
      <c r="A23" s="15" t="s">
        <v>350</v>
      </c>
      <c r="B23" s="9">
        <v>18000</v>
      </c>
      <c r="C23" s="9">
        <v>3000</v>
      </c>
      <c r="D23" s="9">
        <v>12000</v>
      </c>
      <c r="E23" s="9">
        <v>2000</v>
      </c>
      <c r="F23" s="13" t="s">
        <v>220</v>
      </c>
    </row>
    <row r="24" spans="1:6" ht="12.45" customHeight="1">
      <c r="A24" s="15" t="s">
        <v>351</v>
      </c>
      <c r="B24" s="9">
        <v>14000</v>
      </c>
      <c r="C24" s="9">
        <v>6000</v>
      </c>
      <c r="D24" s="9">
        <v>7000</v>
      </c>
      <c r="E24" s="9">
        <v>1000</v>
      </c>
      <c r="F24" s="13" t="s">
        <v>220</v>
      </c>
    </row>
    <row r="25" spans="1:6" ht="12.45" customHeight="1">
      <c r="A25" s="15" t="s">
        <v>352</v>
      </c>
      <c r="B25" s="9">
        <v>21000</v>
      </c>
      <c r="C25" s="9">
        <v>8000</v>
      </c>
      <c r="D25" s="9">
        <v>10000</v>
      </c>
      <c r="E25" s="9">
        <v>1000</v>
      </c>
      <c r="F25" s="13" t="s">
        <v>220</v>
      </c>
    </row>
    <row r="26" spans="1:6" ht="24.75" customHeight="1">
      <c r="A26" s="15" t="s">
        <v>353</v>
      </c>
      <c r="B26" s="11">
        <v>8000</v>
      </c>
      <c r="C26" s="16" t="s">
        <v>191</v>
      </c>
      <c r="D26" s="11">
        <v>2000</v>
      </c>
      <c r="E26" s="16" t="s">
        <v>220</v>
      </c>
      <c r="F26" s="16" t="s">
        <v>220</v>
      </c>
    </row>
    <row r="27" spans="1:6" ht="24.75" customHeight="1">
      <c r="A27" s="15" t="s">
        <v>354</v>
      </c>
      <c r="B27" s="11">
        <v>80000</v>
      </c>
      <c r="C27" s="11">
        <v>34000</v>
      </c>
      <c r="D27" s="11">
        <v>38000</v>
      </c>
      <c r="E27" s="11">
        <v>6000</v>
      </c>
      <c r="F27" s="16" t="s">
        <v>191</v>
      </c>
    </row>
    <row r="28" spans="1:6" ht="12.45" customHeight="1">
      <c r="A28" s="12" t="s">
        <v>230</v>
      </c>
      <c r="B28" s="9">
        <v>341000</v>
      </c>
      <c r="C28" s="9">
        <v>149000</v>
      </c>
      <c r="D28" s="9">
        <v>147000</v>
      </c>
      <c r="E28" s="9">
        <v>34000</v>
      </c>
      <c r="F28" s="9">
        <v>10000</v>
      </c>
    </row>
    <row r="29" spans="1:6" ht="12.45" customHeight="1">
      <c r="A29" s="15" t="s">
        <v>355</v>
      </c>
      <c r="B29" s="9">
        <v>12000</v>
      </c>
      <c r="C29" s="13" t="s">
        <v>191</v>
      </c>
      <c r="D29" s="9">
        <v>4000</v>
      </c>
      <c r="E29" s="13" t="s">
        <v>191</v>
      </c>
      <c r="F29" s="13" t="s">
        <v>220</v>
      </c>
    </row>
    <row r="30" spans="1:6" ht="12.45" customHeight="1">
      <c r="A30" s="15" t="s">
        <v>356</v>
      </c>
      <c r="B30" s="9">
        <v>5000</v>
      </c>
      <c r="C30" s="9">
        <v>2000</v>
      </c>
      <c r="D30" s="9">
        <v>1000</v>
      </c>
      <c r="E30" s="13" t="s">
        <v>191</v>
      </c>
      <c r="F30" s="13" t="s">
        <v>220</v>
      </c>
    </row>
    <row r="31" spans="1:6" ht="12.45" customHeight="1">
      <c r="A31" s="15" t="s">
        <v>357</v>
      </c>
      <c r="B31" s="9">
        <v>86000</v>
      </c>
      <c r="C31" s="9">
        <v>32000</v>
      </c>
      <c r="D31" s="9">
        <v>46000</v>
      </c>
      <c r="E31" s="9">
        <v>4000</v>
      </c>
      <c r="F31" s="13" t="s">
        <v>191</v>
      </c>
    </row>
    <row r="32" spans="1:6" ht="12.45" customHeight="1">
      <c r="A32" s="15" t="s">
        <v>358</v>
      </c>
      <c r="B32" s="9">
        <v>3000</v>
      </c>
      <c r="C32" s="9">
        <v>2000</v>
      </c>
      <c r="D32" s="9">
        <v>1000</v>
      </c>
      <c r="E32" s="13" t="s">
        <v>220</v>
      </c>
      <c r="F32" s="13" t="s">
        <v>220</v>
      </c>
    </row>
    <row r="33" spans="1:6" ht="12.45" customHeight="1">
      <c r="A33" s="15" t="s">
        <v>359</v>
      </c>
      <c r="B33" s="9">
        <v>46000</v>
      </c>
      <c r="C33" s="9">
        <v>25000</v>
      </c>
      <c r="D33" s="9">
        <v>13000</v>
      </c>
      <c r="E33" s="9">
        <v>8000</v>
      </c>
      <c r="F33" s="13" t="s">
        <v>220</v>
      </c>
    </row>
    <row r="34" spans="1:6" ht="24.75" customHeight="1">
      <c r="A34" s="15" t="s">
        <v>360</v>
      </c>
      <c r="B34" s="11">
        <v>188000</v>
      </c>
      <c r="C34" s="11">
        <v>80000</v>
      </c>
      <c r="D34" s="11">
        <v>82000</v>
      </c>
      <c r="E34" s="11">
        <v>20000</v>
      </c>
      <c r="F34" s="11">
        <v>5000</v>
      </c>
    </row>
    <row r="35" spans="1:6" ht="12.45" customHeight="1">
      <c r="A35" s="12" t="s">
        <v>231</v>
      </c>
      <c r="B35" s="9">
        <v>119000</v>
      </c>
      <c r="C35" s="9">
        <v>52000</v>
      </c>
      <c r="D35" s="9">
        <v>58000</v>
      </c>
      <c r="E35" s="9">
        <v>8000</v>
      </c>
      <c r="F35" s="13" t="s">
        <v>220</v>
      </c>
    </row>
    <row r="36" spans="1:6" ht="24.75" customHeight="1">
      <c r="A36" s="15" t="s">
        <v>361</v>
      </c>
      <c r="B36" s="11">
        <v>5000</v>
      </c>
      <c r="C36" s="11">
        <v>2000</v>
      </c>
      <c r="D36" s="16" t="s">
        <v>191</v>
      </c>
      <c r="E36" s="16" t="s">
        <v>220</v>
      </c>
      <c r="F36" s="16" t="s">
        <v>220</v>
      </c>
    </row>
    <row r="37" spans="1:6" ht="12.45" customHeight="1">
      <c r="A37" s="15" t="s">
        <v>362</v>
      </c>
      <c r="B37" s="9">
        <v>4000</v>
      </c>
      <c r="C37" s="9">
        <v>1000</v>
      </c>
      <c r="D37" s="9">
        <v>3000</v>
      </c>
      <c r="E37" s="13" t="s">
        <v>220</v>
      </c>
      <c r="F37" s="13" t="s">
        <v>220</v>
      </c>
    </row>
    <row r="38" spans="1:6" ht="12.45" customHeight="1">
      <c r="A38" s="15" t="s">
        <v>363</v>
      </c>
      <c r="B38" s="9">
        <v>9000</v>
      </c>
      <c r="C38" s="9">
        <v>6000</v>
      </c>
      <c r="D38" s="9">
        <v>3000</v>
      </c>
      <c r="E38" s="13" t="s">
        <v>220</v>
      </c>
      <c r="F38" s="13" t="s">
        <v>220</v>
      </c>
    </row>
    <row r="39" spans="1:6" ht="12.45" customHeight="1">
      <c r="A39" s="15" t="s">
        <v>364</v>
      </c>
      <c r="B39" s="9">
        <v>10000</v>
      </c>
      <c r="C39" s="9">
        <v>4000</v>
      </c>
      <c r="D39" s="9">
        <v>5000</v>
      </c>
      <c r="E39" s="13" t="s">
        <v>220</v>
      </c>
      <c r="F39" s="13" t="s">
        <v>220</v>
      </c>
    </row>
    <row r="40" spans="1:6" ht="12.45" customHeight="1">
      <c r="A40" s="15" t="s">
        <v>365</v>
      </c>
      <c r="B40" s="13" t="s">
        <v>222</v>
      </c>
      <c r="C40" s="13" t="s">
        <v>220</v>
      </c>
      <c r="D40" s="13" t="s">
        <v>220</v>
      </c>
      <c r="E40" s="13" t="s">
        <v>220</v>
      </c>
      <c r="F40" s="13" t="s">
        <v>220</v>
      </c>
    </row>
    <row r="41" spans="1:6" ht="12.45" customHeight="1">
      <c r="A41" s="15" t="s">
        <v>366</v>
      </c>
      <c r="B41" s="9">
        <v>12000</v>
      </c>
      <c r="C41" s="9">
        <v>4000</v>
      </c>
      <c r="D41" s="9">
        <v>6000</v>
      </c>
      <c r="E41" s="9">
        <v>2000</v>
      </c>
      <c r="F41" s="13" t="s">
        <v>220</v>
      </c>
    </row>
    <row r="42" spans="1:6" ht="12.45" customHeight="1">
      <c r="A42" s="15" t="s">
        <v>367</v>
      </c>
      <c r="B42" s="9">
        <v>23000</v>
      </c>
      <c r="C42" s="9">
        <v>13000</v>
      </c>
      <c r="D42" s="9">
        <v>9000</v>
      </c>
      <c r="E42" s="9">
        <v>2000</v>
      </c>
      <c r="F42" s="13" t="s">
        <v>220</v>
      </c>
    </row>
    <row r="43" spans="1:6" ht="12.45" customHeight="1">
      <c r="A43" s="15" t="s">
        <v>368</v>
      </c>
      <c r="B43" s="9">
        <v>55000</v>
      </c>
      <c r="C43" s="9">
        <v>22000</v>
      </c>
      <c r="D43" s="9">
        <v>28000</v>
      </c>
      <c r="E43" s="9">
        <v>4000</v>
      </c>
      <c r="F43" s="13" t="s">
        <v>220</v>
      </c>
    </row>
    <row r="44" spans="1:6" ht="12.45" customHeight="1">
      <c r="A44" s="10" t="s">
        <v>175</v>
      </c>
      <c r="B44" s="9">
        <v>1883000</v>
      </c>
      <c r="C44" s="9">
        <v>856000</v>
      </c>
      <c r="D44" s="9">
        <v>878000</v>
      </c>
      <c r="E44" s="9">
        <v>119000</v>
      </c>
      <c r="F44" s="9">
        <v>30000</v>
      </c>
    </row>
    <row r="45" spans="1:6" ht="12.45" customHeight="1">
      <c r="A45" s="12" t="s">
        <v>369</v>
      </c>
      <c r="B45" s="9">
        <v>832000</v>
      </c>
      <c r="C45" s="9">
        <v>384000</v>
      </c>
      <c r="D45" s="9">
        <v>384000</v>
      </c>
      <c r="E45" s="9">
        <v>47000</v>
      </c>
      <c r="F45" s="9">
        <v>17000</v>
      </c>
    </row>
    <row r="46" spans="1:6" ht="12.45" customHeight="1">
      <c r="A46" s="12" t="s">
        <v>370</v>
      </c>
      <c r="B46" s="9">
        <v>62000</v>
      </c>
      <c r="C46" s="9">
        <v>31000</v>
      </c>
      <c r="D46" s="9">
        <v>29000</v>
      </c>
      <c r="E46" s="9">
        <v>1000</v>
      </c>
      <c r="F46" s="13" t="s">
        <v>220</v>
      </c>
    </row>
    <row r="47" spans="1:6" ht="12.45" customHeight="1">
      <c r="A47" s="12" t="s">
        <v>371</v>
      </c>
      <c r="B47" s="9">
        <v>915000</v>
      </c>
      <c r="C47" s="9">
        <v>410000</v>
      </c>
      <c r="D47" s="9">
        <v>429000</v>
      </c>
      <c r="E47" s="9">
        <v>66000</v>
      </c>
      <c r="F47" s="9">
        <v>11000</v>
      </c>
    </row>
    <row r="48" spans="1:6" ht="12.45" customHeight="1">
      <c r="A48" s="12" t="s">
        <v>372</v>
      </c>
      <c r="B48" s="9">
        <v>69000</v>
      </c>
      <c r="C48" s="9">
        <v>30000</v>
      </c>
      <c r="D48" s="9">
        <v>34000</v>
      </c>
      <c r="E48" s="9">
        <v>5000</v>
      </c>
      <c r="F48" s="13" t="s">
        <v>220</v>
      </c>
    </row>
    <row r="49" spans="1:6" ht="12.45" customHeight="1">
      <c r="A49" s="12" t="s">
        <v>373</v>
      </c>
      <c r="B49" s="13" t="s">
        <v>191</v>
      </c>
      <c r="C49" s="13" t="s">
        <v>220</v>
      </c>
      <c r="D49" s="13" t="s">
        <v>220</v>
      </c>
      <c r="E49" s="13" t="s">
        <v>220</v>
      </c>
      <c r="F49" s="13" t="s">
        <v>220</v>
      </c>
    </row>
  </sheetData>
  <mergeCells count="4">
    <mergeCell ref="A1:G1"/>
    <mergeCell ref="A3:A4"/>
    <mergeCell ref="B3:B4"/>
    <mergeCell ref="C3:F3"/>
  </mergeCell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0" tint="-0.249977111117893"/>
  </sheetPr>
  <dimension ref="A1:G49"/>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39" customHeight="1">
      <c r="A1" s="321" t="s">
        <v>408</v>
      </c>
      <c r="B1" s="321"/>
      <c r="C1" s="321"/>
      <c r="D1" s="321"/>
      <c r="E1" s="321"/>
      <c r="F1" s="321"/>
      <c r="G1" s="321"/>
    </row>
    <row r="2" spans="1:7" ht="1.95" customHeight="1"/>
    <row r="3" spans="1:7" ht="13.95" customHeight="1">
      <c r="A3" s="326" t="s">
        <v>409</v>
      </c>
      <c r="B3" s="328" t="s">
        <v>167</v>
      </c>
      <c r="C3" s="330" t="s">
        <v>410</v>
      </c>
      <c r="D3" s="331"/>
      <c r="E3" s="331"/>
      <c r="F3" s="332"/>
    </row>
    <row r="4" spans="1:7" ht="24" customHeight="1">
      <c r="A4" s="370"/>
      <c r="B4" s="329"/>
      <c r="C4" s="5" t="s">
        <v>411</v>
      </c>
      <c r="D4" s="41" t="s">
        <v>412</v>
      </c>
      <c r="E4" s="41" t="s">
        <v>413</v>
      </c>
      <c r="F4" s="5" t="s">
        <v>414</v>
      </c>
    </row>
    <row r="5" spans="1:7" ht="12.45" customHeight="1">
      <c r="A5" s="14" t="s">
        <v>176</v>
      </c>
      <c r="B5" s="7">
        <v>6842000</v>
      </c>
      <c r="C5" s="7">
        <v>2800000</v>
      </c>
      <c r="D5" s="7">
        <v>3407000</v>
      </c>
      <c r="E5" s="7">
        <v>517000</v>
      </c>
      <c r="F5" s="7">
        <v>117000</v>
      </c>
    </row>
    <row r="6" spans="1:7" ht="12.45" customHeight="1">
      <c r="A6" s="12" t="s">
        <v>374</v>
      </c>
      <c r="B6" s="9">
        <v>508000</v>
      </c>
      <c r="C6" s="9">
        <v>250000</v>
      </c>
      <c r="D6" s="9">
        <v>228000</v>
      </c>
      <c r="E6" s="9">
        <v>25000</v>
      </c>
      <c r="F6" s="13" t="s">
        <v>191</v>
      </c>
    </row>
    <row r="7" spans="1:7" ht="12.45" customHeight="1">
      <c r="A7" s="12" t="s">
        <v>406</v>
      </c>
      <c r="B7" s="9">
        <v>458000</v>
      </c>
      <c r="C7" s="9">
        <v>192000</v>
      </c>
      <c r="D7" s="9">
        <v>224000</v>
      </c>
      <c r="E7" s="9">
        <v>34000</v>
      </c>
      <c r="F7" s="13" t="s">
        <v>191</v>
      </c>
    </row>
    <row r="8" spans="1:7" ht="12.45" customHeight="1">
      <c r="A8" s="12" t="s">
        <v>376</v>
      </c>
      <c r="B8" s="9">
        <v>3916000</v>
      </c>
      <c r="C8" s="9">
        <v>1572000</v>
      </c>
      <c r="D8" s="9">
        <v>1986000</v>
      </c>
      <c r="E8" s="9">
        <v>285000</v>
      </c>
      <c r="F8" s="9">
        <v>73000</v>
      </c>
    </row>
    <row r="9" spans="1:7" ht="12.45" customHeight="1">
      <c r="A9" s="12" t="s">
        <v>377</v>
      </c>
      <c r="B9" s="9">
        <v>559000</v>
      </c>
      <c r="C9" s="9">
        <v>241000</v>
      </c>
      <c r="D9" s="9">
        <v>272000</v>
      </c>
      <c r="E9" s="9">
        <v>39000</v>
      </c>
      <c r="F9" s="9">
        <v>8000</v>
      </c>
    </row>
    <row r="10" spans="1:7" ht="12.45" customHeight="1">
      <c r="A10" s="12" t="s">
        <v>378</v>
      </c>
      <c r="B10" s="9">
        <v>411000</v>
      </c>
      <c r="C10" s="9">
        <v>139000</v>
      </c>
      <c r="D10" s="9">
        <v>219000</v>
      </c>
      <c r="E10" s="9">
        <v>44000</v>
      </c>
      <c r="F10" s="9">
        <v>8000</v>
      </c>
    </row>
    <row r="11" spans="1:7" ht="12.45" customHeight="1">
      <c r="A11" s="12" t="s">
        <v>379</v>
      </c>
      <c r="B11" s="9">
        <v>115000</v>
      </c>
      <c r="C11" s="9">
        <v>41000</v>
      </c>
      <c r="D11" s="9">
        <v>61000</v>
      </c>
      <c r="E11" s="13" t="s">
        <v>191</v>
      </c>
      <c r="F11" s="13" t="s">
        <v>220</v>
      </c>
    </row>
    <row r="12" spans="1:7" ht="12.45" customHeight="1">
      <c r="A12" s="12" t="s">
        <v>380</v>
      </c>
      <c r="B12" s="9">
        <v>92000</v>
      </c>
      <c r="C12" s="9">
        <v>26000</v>
      </c>
      <c r="D12" s="9">
        <v>41000</v>
      </c>
      <c r="E12" s="13" t="s">
        <v>191</v>
      </c>
      <c r="F12" s="13" t="s">
        <v>220</v>
      </c>
    </row>
    <row r="13" spans="1:7" ht="12.45" customHeight="1">
      <c r="A13" s="12" t="s">
        <v>381</v>
      </c>
      <c r="B13" s="9">
        <v>783000</v>
      </c>
      <c r="C13" s="9">
        <v>341000</v>
      </c>
      <c r="D13" s="9">
        <v>376000</v>
      </c>
      <c r="E13" s="9">
        <v>55000</v>
      </c>
      <c r="F13" s="9">
        <v>11000</v>
      </c>
    </row>
    <row r="14" spans="1:7" ht="12.45" customHeight="1">
      <c r="A14" s="8" t="s">
        <v>254</v>
      </c>
      <c r="B14" s="9">
        <v>5439000</v>
      </c>
      <c r="C14" s="9">
        <v>2625000</v>
      </c>
      <c r="D14" s="9">
        <v>2270000</v>
      </c>
      <c r="E14" s="9">
        <v>425000</v>
      </c>
      <c r="F14" s="9">
        <v>118000</v>
      </c>
    </row>
    <row r="15" spans="1:7" ht="12.45" customHeight="1">
      <c r="A15" s="10" t="s">
        <v>174</v>
      </c>
      <c r="B15" s="9">
        <v>836000</v>
      </c>
      <c r="C15" s="9">
        <v>425000</v>
      </c>
      <c r="D15" s="9">
        <v>350000</v>
      </c>
      <c r="E15" s="9">
        <v>49000</v>
      </c>
      <c r="F15" s="9">
        <v>13000</v>
      </c>
    </row>
    <row r="16" spans="1:7" ht="12.45" customHeight="1">
      <c r="A16" s="12" t="s">
        <v>227</v>
      </c>
      <c r="B16" s="9">
        <v>126000</v>
      </c>
      <c r="C16" s="9">
        <v>63000</v>
      </c>
      <c r="D16" s="9">
        <v>52000</v>
      </c>
      <c r="E16" s="9">
        <v>9000</v>
      </c>
      <c r="F16" s="9">
        <v>2000</v>
      </c>
    </row>
    <row r="17" spans="1:6" ht="12.45" customHeight="1">
      <c r="A17" s="15" t="s">
        <v>343</v>
      </c>
      <c r="B17" s="9">
        <v>7000</v>
      </c>
      <c r="C17" s="9">
        <v>5000</v>
      </c>
      <c r="D17" s="9">
        <v>2000</v>
      </c>
      <c r="E17" s="13" t="s">
        <v>220</v>
      </c>
      <c r="F17" s="13" t="s">
        <v>220</v>
      </c>
    </row>
    <row r="18" spans="1:6" ht="12.45" customHeight="1">
      <c r="A18" s="15" t="s">
        <v>344</v>
      </c>
      <c r="B18" s="9">
        <v>93000</v>
      </c>
      <c r="C18" s="9">
        <v>46000</v>
      </c>
      <c r="D18" s="9">
        <v>39000</v>
      </c>
      <c r="E18" s="9">
        <v>7000</v>
      </c>
      <c r="F18" s="13" t="s">
        <v>191</v>
      </c>
    </row>
    <row r="19" spans="1:6" ht="12.45" customHeight="1">
      <c r="A19" s="15" t="s">
        <v>345</v>
      </c>
      <c r="B19" s="9">
        <v>26000</v>
      </c>
      <c r="C19" s="9">
        <v>12000</v>
      </c>
      <c r="D19" s="9">
        <v>11000</v>
      </c>
      <c r="E19" s="13" t="s">
        <v>191</v>
      </c>
      <c r="F19" s="13" t="s">
        <v>220</v>
      </c>
    </row>
    <row r="20" spans="1:6" ht="12.45" customHeight="1">
      <c r="A20" s="15" t="s">
        <v>346</v>
      </c>
      <c r="B20" s="13" t="s">
        <v>220</v>
      </c>
      <c r="C20" s="13" t="s">
        <v>220</v>
      </c>
      <c r="D20" s="13" t="s">
        <v>220</v>
      </c>
      <c r="E20" s="13" t="s">
        <v>220</v>
      </c>
      <c r="F20" s="13" t="s">
        <v>220</v>
      </c>
    </row>
    <row r="21" spans="1:6" ht="12.45" customHeight="1">
      <c r="A21" s="12" t="s">
        <v>228</v>
      </c>
      <c r="B21" s="9">
        <v>268000</v>
      </c>
      <c r="C21" s="9">
        <v>147000</v>
      </c>
      <c r="D21" s="9">
        <v>104000</v>
      </c>
      <c r="E21" s="9">
        <v>14000</v>
      </c>
      <c r="F21" s="9">
        <v>3000</v>
      </c>
    </row>
    <row r="22" spans="1:6" ht="12.45" customHeight="1">
      <c r="A22" s="15" t="s">
        <v>347</v>
      </c>
      <c r="B22" s="9">
        <v>223000</v>
      </c>
      <c r="C22" s="9">
        <v>117000</v>
      </c>
      <c r="D22" s="9">
        <v>95000</v>
      </c>
      <c r="E22" s="9">
        <v>9000</v>
      </c>
      <c r="F22" s="13" t="s">
        <v>191</v>
      </c>
    </row>
    <row r="23" spans="1:6" ht="12.45" customHeight="1">
      <c r="A23" s="15" t="s">
        <v>348</v>
      </c>
      <c r="B23" s="9">
        <v>45000</v>
      </c>
      <c r="C23" s="9">
        <v>30000</v>
      </c>
      <c r="D23" s="9">
        <v>10000</v>
      </c>
      <c r="E23" s="13" t="s">
        <v>191</v>
      </c>
      <c r="F23" s="13" t="s">
        <v>191</v>
      </c>
    </row>
    <row r="24" spans="1:6" ht="24.75" customHeight="1">
      <c r="A24" s="15" t="s">
        <v>349</v>
      </c>
      <c r="B24" s="16" t="s">
        <v>220</v>
      </c>
      <c r="C24" s="16" t="s">
        <v>220</v>
      </c>
      <c r="D24" s="16" t="s">
        <v>220</v>
      </c>
      <c r="E24" s="16" t="s">
        <v>220</v>
      </c>
      <c r="F24" s="16" t="s">
        <v>220</v>
      </c>
    </row>
    <row r="25" spans="1:6" ht="12.45" customHeight="1">
      <c r="A25" s="12" t="s">
        <v>229</v>
      </c>
      <c r="B25" s="9">
        <v>99000</v>
      </c>
      <c r="C25" s="9">
        <v>43000</v>
      </c>
      <c r="D25" s="9">
        <v>46000</v>
      </c>
      <c r="E25" s="9">
        <v>8000</v>
      </c>
      <c r="F25" s="13" t="s">
        <v>191</v>
      </c>
    </row>
    <row r="26" spans="1:6" ht="12.45" customHeight="1">
      <c r="A26" s="15" t="s">
        <v>350</v>
      </c>
      <c r="B26" s="9">
        <v>20000</v>
      </c>
      <c r="C26" s="9">
        <v>9000</v>
      </c>
      <c r="D26" s="9">
        <v>6000</v>
      </c>
      <c r="E26" s="13" t="s">
        <v>191</v>
      </c>
      <c r="F26" s="13" t="s">
        <v>191</v>
      </c>
    </row>
    <row r="27" spans="1:6" ht="12.45" customHeight="1">
      <c r="A27" s="15" t="s">
        <v>351</v>
      </c>
      <c r="B27" s="9">
        <v>25000</v>
      </c>
      <c r="C27" s="9">
        <v>14000</v>
      </c>
      <c r="D27" s="9">
        <v>11000</v>
      </c>
      <c r="E27" s="9">
        <v>1000</v>
      </c>
      <c r="F27" s="13" t="s">
        <v>220</v>
      </c>
    </row>
    <row r="28" spans="1:6" ht="12.45" customHeight="1">
      <c r="A28" s="15" t="s">
        <v>352</v>
      </c>
      <c r="B28" s="9">
        <v>12000</v>
      </c>
      <c r="C28" s="9">
        <v>9000</v>
      </c>
      <c r="D28" s="9">
        <v>3000</v>
      </c>
      <c r="E28" s="13" t="s">
        <v>220</v>
      </c>
      <c r="F28" s="13" t="s">
        <v>220</v>
      </c>
    </row>
    <row r="29" spans="1:6" ht="24.75" customHeight="1">
      <c r="A29" s="15" t="s">
        <v>353</v>
      </c>
      <c r="B29" s="11">
        <v>41000</v>
      </c>
      <c r="C29" s="11">
        <v>11000</v>
      </c>
      <c r="D29" s="11">
        <v>26000</v>
      </c>
      <c r="E29" s="11">
        <v>3000</v>
      </c>
      <c r="F29" s="16" t="s">
        <v>220</v>
      </c>
    </row>
    <row r="30" spans="1:6" ht="24.75" customHeight="1">
      <c r="A30" s="15" t="s">
        <v>354</v>
      </c>
      <c r="B30" s="16" t="s">
        <v>220</v>
      </c>
      <c r="C30" s="16" t="s">
        <v>220</v>
      </c>
      <c r="D30" s="16" t="s">
        <v>220</v>
      </c>
      <c r="E30" s="16" t="s">
        <v>220</v>
      </c>
      <c r="F30" s="16" t="s">
        <v>220</v>
      </c>
    </row>
    <row r="31" spans="1:6" ht="12.45" customHeight="1">
      <c r="A31" s="12" t="s">
        <v>230</v>
      </c>
      <c r="B31" s="9">
        <v>114000</v>
      </c>
      <c r="C31" s="9">
        <v>49000</v>
      </c>
      <c r="D31" s="9">
        <v>62000</v>
      </c>
      <c r="E31" s="9">
        <v>3000</v>
      </c>
      <c r="F31" s="9">
        <v>1000</v>
      </c>
    </row>
    <row r="32" spans="1:6" ht="12.45" customHeight="1">
      <c r="A32" s="15" t="s">
        <v>355</v>
      </c>
      <c r="B32" s="9">
        <v>13000</v>
      </c>
      <c r="C32" s="9">
        <v>8000</v>
      </c>
      <c r="D32" s="9">
        <v>4000</v>
      </c>
      <c r="E32" s="13" t="s">
        <v>222</v>
      </c>
      <c r="F32" s="13" t="s">
        <v>220</v>
      </c>
    </row>
    <row r="33" spans="1:6" ht="12.45" customHeight="1">
      <c r="A33" s="15" t="s">
        <v>356</v>
      </c>
      <c r="B33" s="9">
        <v>20000</v>
      </c>
      <c r="C33" s="9">
        <v>11000</v>
      </c>
      <c r="D33" s="13" t="s">
        <v>191</v>
      </c>
      <c r="E33" s="13" t="s">
        <v>220</v>
      </c>
      <c r="F33" s="13" t="s">
        <v>220</v>
      </c>
    </row>
    <row r="34" spans="1:6" ht="12.45" customHeight="1">
      <c r="A34" s="15" t="s">
        <v>357</v>
      </c>
      <c r="B34" s="9">
        <v>20000</v>
      </c>
      <c r="C34" s="9">
        <v>6000</v>
      </c>
      <c r="D34" s="9">
        <v>13000</v>
      </c>
      <c r="E34" s="13" t="s">
        <v>220</v>
      </c>
      <c r="F34" s="13" t="s">
        <v>220</v>
      </c>
    </row>
    <row r="35" spans="1:6" ht="12.45" customHeight="1">
      <c r="A35" s="15" t="s">
        <v>358</v>
      </c>
      <c r="B35" s="9">
        <v>3000</v>
      </c>
      <c r="C35" s="9">
        <v>2000</v>
      </c>
      <c r="D35" s="9">
        <v>2000</v>
      </c>
      <c r="E35" s="13" t="s">
        <v>220</v>
      </c>
      <c r="F35" s="13" t="s">
        <v>220</v>
      </c>
    </row>
    <row r="36" spans="1:6" ht="12.45" customHeight="1">
      <c r="A36" s="15" t="s">
        <v>359</v>
      </c>
      <c r="B36" s="9">
        <v>59000</v>
      </c>
      <c r="C36" s="9">
        <v>22000</v>
      </c>
      <c r="D36" s="9">
        <v>34000</v>
      </c>
      <c r="E36" s="13" t="s">
        <v>191</v>
      </c>
      <c r="F36" s="13" t="s">
        <v>220</v>
      </c>
    </row>
    <row r="37" spans="1:6" ht="24.75" customHeight="1">
      <c r="A37" s="15" t="s">
        <v>360</v>
      </c>
      <c r="B37" s="16" t="s">
        <v>220</v>
      </c>
      <c r="C37" s="16" t="s">
        <v>220</v>
      </c>
      <c r="D37" s="16" t="s">
        <v>220</v>
      </c>
      <c r="E37" s="16" t="s">
        <v>220</v>
      </c>
      <c r="F37" s="16" t="s">
        <v>220</v>
      </c>
    </row>
    <row r="38" spans="1:6" ht="12.45" customHeight="1">
      <c r="A38" s="12" t="s">
        <v>231</v>
      </c>
      <c r="B38" s="9">
        <v>229000</v>
      </c>
      <c r="C38" s="9">
        <v>125000</v>
      </c>
      <c r="D38" s="9">
        <v>86000</v>
      </c>
      <c r="E38" s="9">
        <v>14000</v>
      </c>
      <c r="F38" s="9">
        <v>5000</v>
      </c>
    </row>
    <row r="39" spans="1:6" ht="24.75" customHeight="1">
      <c r="A39" s="15" t="s">
        <v>361</v>
      </c>
      <c r="B39" s="11">
        <v>19000</v>
      </c>
      <c r="C39" s="11">
        <v>10000</v>
      </c>
      <c r="D39" s="11">
        <v>8000</v>
      </c>
      <c r="E39" s="16" t="s">
        <v>220</v>
      </c>
      <c r="F39" s="16" t="s">
        <v>220</v>
      </c>
    </row>
    <row r="40" spans="1:6" ht="12.45" customHeight="1">
      <c r="A40" s="15" t="s">
        <v>362</v>
      </c>
      <c r="B40" s="9">
        <v>3000</v>
      </c>
      <c r="C40" s="13" t="s">
        <v>191</v>
      </c>
      <c r="D40" s="13" t="s">
        <v>191</v>
      </c>
      <c r="E40" s="13" t="s">
        <v>220</v>
      </c>
      <c r="F40" s="13" t="s">
        <v>220</v>
      </c>
    </row>
    <row r="41" spans="1:6" ht="12.45" customHeight="1">
      <c r="A41" s="15" t="s">
        <v>363</v>
      </c>
      <c r="B41" s="9">
        <v>87000</v>
      </c>
      <c r="C41" s="9">
        <v>52000</v>
      </c>
      <c r="D41" s="9">
        <v>29000</v>
      </c>
      <c r="E41" s="9">
        <v>6000</v>
      </c>
      <c r="F41" s="9">
        <v>1000</v>
      </c>
    </row>
    <row r="42" spans="1:6" ht="12.45" customHeight="1">
      <c r="A42" s="15" t="s">
        <v>364</v>
      </c>
      <c r="B42" s="9">
        <v>37000</v>
      </c>
      <c r="C42" s="9">
        <v>17000</v>
      </c>
      <c r="D42" s="9">
        <v>18000</v>
      </c>
      <c r="E42" s="13" t="s">
        <v>191</v>
      </c>
      <c r="F42" s="13" t="s">
        <v>220</v>
      </c>
    </row>
    <row r="43" spans="1:6" ht="12.45" customHeight="1">
      <c r="A43" s="15" t="s">
        <v>365</v>
      </c>
      <c r="B43" s="9">
        <v>5000</v>
      </c>
      <c r="C43" s="9">
        <v>3000</v>
      </c>
      <c r="D43" s="9">
        <v>2000</v>
      </c>
      <c r="E43" s="13" t="s">
        <v>220</v>
      </c>
      <c r="F43" s="13" t="s">
        <v>220</v>
      </c>
    </row>
    <row r="44" spans="1:6" ht="12.45" customHeight="1">
      <c r="A44" s="15" t="s">
        <v>366</v>
      </c>
      <c r="B44" s="9">
        <v>26000</v>
      </c>
      <c r="C44" s="9">
        <v>12000</v>
      </c>
      <c r="D44" s="9">
        <v>12000</v>
      </c>
      <c r="E44" s="9">
        <v>1000</v>
      </c>
      <c r="F44" s="13" t="s">
        <v>191</v>
      </c>
    </row>
    <row r="45" spans="1:6" ht="12.45" customHeight="1">
      <c r="A45" s="15" t="s">
        <v>367</v>
      </c>
      <c r="B45" s="9">
        <v>52000</v>
      </c>
      <c r="C45" s="9">
        <v>27000</v>
      </c>
      <c r="D45" s="9">
        <v>17000</v>
      </c>
      <c r="E45" s="9">
        <v>5000</v>
      </c>
      <c r="F45" s="13" t="s">
        <v>191</v>
      </c>
    </row>
    <row r="46" spans="1:6" ht="12.45" customHeight="1">
      <c r="A46" s="15" t="s">
        <v>368</v>
      </c>
      <c r="B46" s="13" t="s">
        <v>220</v>
      </c>
      <c r="C46" s="13" t="s">
        <v>220</v>
      </c>
      <c r="D46" s="13" t="s">
        <v>220</v>
      </c>
      <c r="E46" s="13" t="s">
        <v>220</v>
      </c>
      <c r="F46" s="13" t="s">
        <v>220</v>
      </c>
    </row>
    <row r="47" spans="1:6" ht="12.45" customHeight="1">
      <c r="A47" s="10" t="s">
        <v>175</v>
      </c>
      <c r="B47" s="9">
        <v>736000</v>
      </c>
      <c r="C47" s="9">
        <v>335000</v>
      </c>
      <c r="D47" s="9">
        <v>325000</v>
      </c>
      <c r="E47" s="9">
        <v>66000</v>
      </c>
      <c r="F47" s="9">
        <v>11000</v>
      </c>
    </row>
    <row r="48" spans="1:6" ht="12.45" customHeight="1">
      <c r="A48" s="12" t="s">
        <v>369</v>
      </c>
      <c r="B48" s="9">
        <v>446000</v>
      </c>
      <c r="C48" s="9">
        <v>203000</v>
      </c>
      <c r="D48" s="9">
        <v>193000</v>
      </c>
      <c r="E48" s="9">
        <v>42000</v>
      </c>
      <c r="F48" s="9">
        <v>8000</v>
      </c>
    </row>
    <row r="49" spans="1:6" ht="12.45" customHeight="1">
      <c r="A49" s="12" t="s">
        <v>370</v>
      </c>
      <c r="B49" s="9">
        <v>161000</v>
      </c>
      <c r="C49" s="9">
        <v>74000</v>
      </c>
      <c r="D49" s="9">
        <v>67000</v>
      </c>
      <c r="E49" s="13" t="s">
        <v>191</v>
      </c>
      <c r="F49" s="13" t="s">
        <v>220</v>
      </c>
    </row>
  </sheetData>
  <mergeCells count="4">
    <mergeCell ref="A1:G1"/>
    <mergeCell ref="A3:A4"/>
    <mergeCell ref="B3:B4"/>
    <mergeCell ref="C3:F3"/>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0" tint="-0.249977111117893"/>
  </sheetPr>
  <dimension ref="A1:G18"/>
  <sheetViews>
    <sheetView workbookViewId="0">
      <selection sqref="A1:Z1"/>
    </sheetView>
  </sheetViews>
  <sheetFormatPr defaultRowHeight="13.2"/>
  <cols>
    <col min="1" max="1" width="50.44140625" customWidth="1"/>
    <col min="2" max="2" width="11.109375" customWidth="1"/>
    <col min="3" max="3" width="12.44140625" customWidth="1"/>
    <col min="4" max="4" width="16.77734375" customWidth="1"/>
    <col min="5" max="5" width="19.33203125" customWidth="1"/>
    <col min="6" max="6" width="14.77734375" customWidth="1"/>
    <col min="7" max="7" width="2.44140625" customWidth="1"/>
  </cols>
  <sheetData>
    <row r="1" spans="1:7" ht="42.75" customHeight="1">
      <c r="A1" s="321" t="s">
        <v>408</v>
      </c>
      <c r="B1" s="321"/>
      <c r="C1" s="321"/>
      <c r="D1" s="321"/>
      <c r="E1" s="321"/>
      <c r="F1" s="321"/>
      <c r="G1" s="321"/>
    </row>
    <row r="2" spans="1:7" ht="13.95" customHeight="1">
      <c r="A2" s="326" t="s">
        <v>409</v>
      </c>
      <c r="B2" s="328" t="s">
        <v>167</v>
      </c>
      <c r="C2" s="330" t="s">
        <v>410</v>
      </c>
      <c r="D2" s="331"/>
      <c r="E2" s="331"/>
      <c r="F2" s="332"/>
    </row>
    <row r="3" spans="1:7" ht="24" customHeight="1">
      <c r="A3" s="370"/>
      <c r="B3" s="329"/>
      <c r="C3" s="5" t="s">
        <v>411</v>
      </c>
      <c r="D3" s="41" t="s">
        <v>412</v>
      </c>
      <c r="E3" s="41" t="s">
        <v>413</v>
      </c>
      <c r="F3" s="5" t="s">
        <v>414</v>
      </c>
    </row>
    <row r="4" spans="1:7" ht="12.45" customHeight="1">
      <c r="A4" s="18" t="s">
        <v>371</v>
      </c>
      <c r="B4" s="19" t="s">
        <v>220</v>
      </c>
      <c r="C4" s="19" t="s">
        <v>220</v>
      </c>
      <c r="D4" s="19" t="s">
        <v>220</v>
      </c>
      <c r="E4" s="19" t="s">
        <v>220</v>
      </c>
      <c r="F4" s="19" t="s">
        <v>220</v>
      </c>
    </row>
    <row r="5" spans="1:7" ht="12.45" customHeight="1">
      <c r="A5" s="12" t="s">
        <v>372</v>
      </c>
      <c r="B5" s="9">
        <v>122000</v>
      </c>
      <c r="C5" s="9">
        <v>56000</v>
      </c>
      <c r="D5" s="9">
        <v>61000</v>
      </c>
      <c r="E5" s="9">
        <v>3000</v>
      </c>
      <c r="F5" s="13" t="s">
        <v>191</v>
      </c>
    </row>
    <row r="6" spans="1:7" ht="12.45" customHeight="1">
      <c r="A6" s="12" t="s">
        <v>373</v>
      </c>
      <c r="B6" s="9">
        <v>7000</v>
      </c>
      <c r="C6" s="13" t="s">
        <v>191</v>
      </c>
      <c r="D6" s="13" t="s">
        <v>191</v>
      </c>
      <c r="E6" s="13" t="s">
        <v>220</v>
      </c>
      <c r="F6" s="13" t="s">
        <v>220</v>
      </c>
    </row>
    <row r="7" spans="1:7" ht="12.45" customHeight="1">
      <c r="A7" s="10" t="s">
        <v>176</v>
      </c>
      <c r="B7" s="9">
        <v>3867000</v>
      </c>
      <c r="C7" s="9">
        <v>1865000</v>
      </c>
      <c r="D7" s="9">
        <v>1595000</v>
      </c>
      <c r="E7" s="9">
        <v>311000</v>
      </c>
      <c r="F7" s="9">
        <v>95000</v>
      </c>
    </row>
    <row r="8" spans="1:7" ht="12.45" customHeight="1">
      <c r="A8" s="12" t="s">
        <v>374</v>
      </c>
      <c r="B8" s="9">
        <v>511000</v>
      </c>
      <c r="C8" s="9">
        <v>277000</v>
      </c>
      <c r="D8" s="9">
        <v>177000</v>
      </c>
      <c r="E8" s="9">
        <v>46000</v>
      </c>
      <c r="F8" s="9">
        <v>10000</v>
      </c>
    </row>
    <row r="9" spans="1:7" ht="12.45" customHeight="1">
      <c r="A9" s="12" t="s">
        <v>406</v>
      </c>
      <c r="B9" s="9">
        <v>977000</v>
      </c>
      <c r="C9" s="9">
        <v>503000</v>
      </c>
      <c r="D9" s="9">
        <v>361000</v>
      </c>
      <c r="E9" s="9">
        <v>91000</v>
      </c>
      <c r="F9" s="9">
        <v>22000</v>
      </c>
    </row>
    <row r="10" spans="1:7" ht="12.45" customHeight="1">
      <c r="A10" s="12" t="s">
        <v>376</v>
      </c>
      <c r="B10" s="13" t="s">
        <v>220</v>
      </c>
      <c r="C10" s="13" t="s">
        <v>220</v>
      </c>
      <c r="D10" s="13" t="s">
        <v>220</v>
      </c>
      <c r="E10" s="13" t="s">
        <v>220</v>
      </c>
      <c r="F10" s="13" t="s">
        <v>220</v>
      </c>
    </row>
    <row r="11" spans="1:7" ht="12.45" customHeight="1">
      <c r="A11" s="12" t="s">
        <v>377</v>
      </c>
      <c r="B11" s="13" t="s">
        <v>220</v>
      </c>
      <c r="C11" s="13" t="s">
        <v>220</v>
      </c>
      <c r="D11" s="13" t="s">
        <v>220</v>
      </c>
      <c r="E11" s="13" t="s">
        <v>220</v>
      </c>
      <c r="F11" s="13" t="s">
        <v>220</v>
      </c>
    </row>
    <row r="12" spans="1:7" ht="12.45" customHeight="1">
      <c r="A12" s="59" t="s">
        <v>378</v>
      </c>
      <c r="B12" s="9">
        <v>438000</v>
      </c>
      <c r="C12" s="9">
        <v>143000</v>
      </c>
      <c r="D12" s="9">
        <v>236000</v>
      </c>
      <c r="E12" s="9">
        <v>45000</v>
      </c>
      <c r="F12" s="9">
        <v>14000</v>
      </c>
    </row>
    <row r="13" spans="1:7" ht="12.45" customHeight="1">
      <c r="A13" s="12" t="s">
        <v>379</v>
      </c>
      <c r="B13" s="9">
        <v>59000</v>
      </c>
      <c r="C13" s="9">
        <v>35000</v>
      </c>
      <c r="D13" s="9">
        <v>18000</v>
      </c>
      <c r="E13" s="13" t="s">
        <v>191</v>
      </c>
      <c r="F13" s="13" t="s">
        <v>220</v>
      </c>
    </row>
    <row r="14" spans="1:7" ht="12.45" customHeight="1">
      <c r="A14" s="59" t="s">
        <v>380</v>
      </c>
      <c r="B14" s="9">
        <v>27000</v>
      </c>
      <c r="C14" s="9">
        <v>11000</v>
      </c>
      <c r="D14" s="9">
        <v>14000</v>
      </c>
      <c r="E14" s="13" t="s">
        <v>220</v>
      </c>
      <c r="F14" s="13" t="s">
        <v>220</v>
      </c>
    </row>
    <row r="15" spans="1:7" ht="12.45" customHeight="1">
      <c r="A15" s="49" t="s">
        <v>381</v>
      </c>
      <c r="B15" s="21">
        <v>1855000</v>
      </c>
      <c r="C15" s="21">
        <v>896000</v>
      </c>
      <c r="D15" s="21">
        <v>788000</v>
      </c>
      <c r="E15" s="21">
        <v>123000</v>
      </c>
      <c r="F15" s="21">
        <v>47000</v>
      </c>
    </row>
    <row r="16" spans="1:7" ht="21.45" customHeight="1">
      <c r="A16" s="344" t="s">
        <v>224</v>
      </c>
      <c r="B16" s="344"/>
      <c r="C16" s="344"/>
      <c r="D16" s="344"/>
      <c r="E16" s="344"/>
      <c r="F16" s="344"/>
      <c r="G16" s="344"/>
    </row>
    <row r="17" spans="1:7" ht="102.45" customHeight="1">
      <c r="A17" s="321" t="s">
        <v>416</v>
      </c>
      <c r="B17" s="321"/>
      <c r="C17" s="321"/>
      <c r="D17" s="321"/>
      <c r="E17" s="321"/>
      <c r="F17" s="321"/>
      <c r="G17" s="321"/>
    </row>
    <row r="18" spans="1:7" ht="1.95" customHeight="1"/>
  </sheetData>
  <mergeCells count="6">
    <mergeCell ref="A17:G17"/>
    <mergeCell ref="A1:G1"/>
    <mergeCell ref="A2:A3"/>
    <mergeCell ref="B2:B3"/>
    <mergeCell ref="C2:F2"/>
    <mergeCell ref="A16:G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EA9F7-8098-4D64-A79B-26BF3B226031}">
  <dimension ref="A1:K42"/>
  <sheetViews>
    <sheetView topLeftCell="A25" workbookViewId="0">
      <selection activeCell="G10" sqref="G10:H15"/>
    </sheetView>
  </sheetViews>
  <sheetFormatPr defaultRowHeight="13.2"/>
  <cols>
    <col min="1" max="1" width="67.77734375" bestFit="1" customWidth="1"/>
    <col min="2" max="2" width="20.77734375" customWidth="1"/>
    <col min="3" max="3" width="68.33203125" bestFit="1" customWidth="1"/>
    <col min="4" max="4" width="17.6640625" customWidth="1"/>
    <col min="7" max="7" width="36.44140625" bestFit="1" customWidth="1"/>
    <col min="8" max="8" width="18.77734375" customWidth="1"/>
    <col min="9" max="9" width="41.6640625" bestFit="1" customWidth="1"/>
    <col min="10" max="10" width="17.44140625" customWidth="1"/>
  </cols>
  <sheetData>
    <row r="1" spans="1:11">
      <c r="A1" s="319" t="s">
        <v>60</v>
      </c>
      <c r="B1" s="320"/>
      <c r="C1" s="320"/>
      <c r="D1" s="320"/>
      <c r="G1" s="319" t="s">
        <v>61</v>
      </c>
      <c r="H1" s="320"/>
      <c r="I1" s="320"/>
      <c r="J1" s="320"/>
      <c r="K1" s="320"/>
    </row>
    <row r="2" spans="1:11">
      <c r="A2" s="290" t="s">
        <v>62</v>
      </c>
      <c r="B2" s="290" t="s">
        <v>63</v>
      </c>
      <c r="C2" s="290" t="s">
        <v>64</v>
      </c>
      <c r="D2" s="290" t="s">
        <v>65</v>
      </c>
      <c r="G2" s="290" t="s">
        <v>62</v>
      </c>
      <c r="H2" s="290" t="s">
        <v>63</v>
      </c>
      <c r="I2" s="290" t="s">
        <v>64</v>
      </c>
      <c r="J2" s="290" t="s">
        <v>65</v>
      </c>
    </row>
    <row r="3" spans="1:11">
      <c r="A3" s="285" t="s">
        <v>66</v>
      </c>
      <c r="B3">
        <v>0.81006432084752178</v>
      </c>
      <c r="C3" s="285" t="s">
        <v>67</v>
      </c>
      <c r="D3">
        <v>2.7998486568293599E-2</v>
      </c>
      <c r="G3" s="285" t="s">
        <v>68</v>
      </c>
      <c r="H3" s="263">
        <v>100000</v>
      </c>
      <c r="I3" s="285" t="s">
        <v>69</v>
      </c>
      <c r="J3" s="296">
        <f>7233.48899282316</f>
        <v>7233.4889928231596</v>
      </c>
    </row>
    <row r="4" spans="1:11">
      <c r="C4" s="285" t="s">
        <v>70</v>
      </c>
      <c r="D4">
        <v>0.162315550510783</v>
      </c>
      <c r="G4" t="s">
        <v>71</v>
      </c>
      <c r="H4" s="263">
        <v>88504</v>
      </c>
      <c r="I4" s="285" t="s">
        <v>72</v>
      </c>
      <c r="J4" s="296">
        <v>84656</v>
      </c>
    </row>
    <row r="5" spans="1:11">
      <c r="A5" s="285" t="s">
        <v>73</v>
      </c>
      <c r="B5">
        <v>0.7972909855207847</v>
      </c>
      <c r="C5" s="285" t="s">
        <v>74</v>
      </c>
      <c r="D5">
        <v>5.3246146660439003E-2</v>
      </c>
      <c r="H5" s="263"/>
      <c r="I5" s="285" t="s">
        <v>75</v>
      </c>
      <c r="J5" s="296">
        <f>133340</f>
        <v>133340</v>
      </c>
    </row>
    <row r="6" spans="1:11">
      <c r="A6" t="s">
        <v>76</v>
      </c>
      <c r="C6" t="s">
        <v>77</v>
      </c>
      <c r="G6" s="290" t="s">
        <v>78</v>
      </c>
      <c r="H6" s="263">
        <f>SUM(H3:H4)</f>
        <v>188504</v>
      </c>
      <c r="I6" s="290" t="s">
        <v>78</v>
      </c>
      <c r="J6" s="296">
        <f>SUM(J3:J5)</f>
        <v>225229.48899282317</v>
      </c>
    </row>
    <row r="7" spans="1:11">
      <c r="A7" t="s">
        <v>79</v>
      </c>
      <c r="B7">
        <v>0.41429238673517049</v>
      </c>
      <c r="C7" t="s">
        <v>79</v>
      </c>
      <c r="D7">
        <v>0</v>
      </c>
    </row>
    <row r="8" spans="1:11">
      <c r="A8" t="s">
        <v>80</v>
      </c>
      <c r="B8">
        <v>0.58570761326482956</v>
      </c>
      <c r="C8" t="s">
        <v>80</v>
      </c>
      <c r="D8">
        <v>0</v>
      </c>
    </row>
    <row r="9" spans="1:11">
      <c r="A9" t="s">
        <v>81</v>
      </c>
      <c r="B9">
        <v>0</v>
      </c>
      <c r="C9" t="s">
        <v>81</v>
      </c>
      <c r="D9">
        <f>6.95936478281177%</f>
        <v>6.9593647828117694E-2</v>
      </c>
    </row>
    <row r="10" spans="1:11">
      <c r="A10" t="s">
        <v>82</v>
      </c>
      <c r="B10">
        <v>2.8024287716020553E-3</v>
      </c>
      <c r="C10" t="s">
        <v>82</v>
      </c>
      <c r="D10">
        <v>0</v>
      </c>
      <c r="G10" s="290" t="s">
        <v>53</v>
      </c>
      <c r="H10" s="296">
        <f>H6-J6</f>
        <v>-36725.488992823171</v>
      </c>
    </row>
    <row r="11" spans="1:11">
      <c r="A11" t="s">
        <v>83</v>
      </c>
      <c r="B11">
        <v>0.20457730032695001</v>
      </c>
      <c r="C11" t="s">
        <v>83</v>
      </c>
      <c r="D11">
        <v>0</v>
      </c>
      <c r="G11" s="290" t="s">
        <v>55</v>
      </c>
      <c r="H11">
        <f>ABS(H6/J6)</f>
        <v>0.83694191574535159</v>
      </c>
    </row>
    <row r="12" spans="1:11">
      <c r="A12" t="s">
        <v>84</v>
      </c>
      <c r="B12">
        <v>6.6791219056515652E-2</v>
      </c>
      <c r="C12" t="s">
        <v>84</v>
      </c>
      <c r="D12">
        <v>0</v>
      </c>
      <c r="G12" s="290" t="s">
        <v>56</v>
      </c>
      <c r="H12" s="296">
        <f>PV(0.04,4,,-H6)</f>
        <v>161134.0092258674</v>
      </c>
      <c r="I12" s="285" t="s">
        <v>85</v>
      </c>
    </row>
    <row r="13" spans="1:11">
      <c r="A13" t="s">
        <v>86</v>
      </c>
      <c r="B13">
        <v>0</v>
      </c>
      <c r="C13" t="s">
        <v>86</v>
      </c>
      <c r="D13">
        <v>0</v>
      </c>
      <c r="G13" s="290" t="s">
        <v>57</v>
      </c>
      <c r="H13" s="296">
        <f>PV(0.04,4,,-J6)</f>
        <v>192527.11113454873</v>
      </c>
    </row>
    <row r="14" spans="1:11">
      <c r="A14" t="s">
        <v>87</v>
      </c>
      <c r="B14">
        <v>0</v>
      </c>
      <c r="C14" t="s">
        <v>87</v>
      </c>
      <c r="D14">
        <f>64.3157403082672%</f>
        <v>0.643157403082672</v>
      </c>
      <c r="G14" s="290" t="s">
        <v>58</v>
      </c>
      <c r="H14" s="296">
        <f>H12-H13</f>
        <v>-31393.101908681332</v>
      </c>
    </row>
    <row r="15" spans="1:11">
      <c r="A15" t="s">
        <v>88</v>
      </c>
      <c r="B15">
        <v>0</v>
      </c>
      <c r="C15" t="s">
        <v>88</v>
      </c>
      <c r="D15">
        <f>1.26109294722092%</f>
        <v>1.26109294722092E-2</v>
      </c>
      <c r="G15" s="290" t="s">
        <v>59</v>
      </c>
      <c r="H15">
        <f>H10/J6</f>
        <v>-0.16305808425464843</v>
      </c>
    </row>
    <row r="16" spans="1:11">
      <c r="A16" t="s">
        <v>89</v>
      </c>
      <c r="B16">
        <v>0.90331620737972906</v>
      </c>
      <c r="C16" t="s">
        <v>89</v>
      </c>
      <c r="D16">
        <v>0</v>
      </c>
      <c r="G16" s="285"/>
      <c r="H16" s="296"/>
    </row>
    <row r="17" spans="1:8">
      <c r="A17" t="s">
        <v>90</v>
      </c>
      <c r="B17">
        <v>0</v>
      </c>
      <c r="C17" t="s">
        <v>90</v>
      </c>
      <c r="D17">
        <f>9.66837926202709%</f>
        <v>9.6683792620270895E-2</v>
      </c>
    </row>
    <row r="18" spans="1:8">
      <c r="A18" t="s">
        <v>91</v>
      </c>
      <c r="B18">
        <v>1.4875202843675141E-2</v>
      </c>
      <c r="C18" t="s">
        <v>91</v>
      </c>
      <c r="D18">
        <v>0</v>
      </c>
      <c r="H18" s="296"/>
    </row>
    <row r="19" spans="1:8">
      <c r="A19" t="s">
        <v>92</v>
      </c>
      <c r="B19">
        <v>2.6485588439842361E-2</v>
      </c>
      <c r="C19" t="s">
        <v>92</v>
      </c>
      <c r="D19">
        <v>0</v>
      </c>
    </row>
    <row r="20" spans="1:8">
      <c r="A20" t="s">
        <v>93</v>
      </c>
      <c r="C20" t="s">
        <v>94</v>
      </c>
    </row>
    <row r="21" spans="1:8">
      <c r="A21" s="285" t="s">
        <v>107</v>
      </c>
      <c r="B21">
        <v>5.8376494682704827</v>
      </c>
      <c r="C21" s="285" t="s">
        <v>107</v>
      </c>
      <c r="D21">
        <v>0.84932183056206101</v>
      </c>
    </row>
    <row r="22" spans="1:8">
      <c r="A22" t="s">
        <v>79</v>
      </c>
      <c r="B22">
        <v>2.2923739790715665</v>
      </c>
      <c r="C22" t="s">
        <v>79</v>
      </c>
      <c r="D22">
        <v>0.23704219075937899</v>
      </c>
    </row>
    <row r="23" spans="1:8">
      <c r="A23" t="s">
        <v>80</v>
      </c>
      <c r="B23">
        <v>3.7781904082449218</v>
      </c>
      <c r="C23" t="s">
        <v>80</v>
      </c>
      <c r="D23">
        <v>0.40313406212136099</v>
      </c>
    </row>
    <row r="24" spans="1:8">
      <c r="A24" t="s">
        <v>95</v>
      </c>
      <c r="B24">
        <v>0.72396076599719761</v>
      </c>
      <c r="C24" t="s">
        <v>96</v>
      </c>
      <c r="D24">
        <v>0.276039234002802</v>
      </c>
    </row>
    <row r="25" spans="1:8">
      <c r="A25" t="s">
        <v>97</v>
      </c>
      <c r="B25">
        <v>1.06E-2</v>
      </c>
      <c r="C25" t="s">
        <v>98</v>
      </c>
      <c r="D25">
        <v>0</v>
      </c>
    </row>
    <row r="26" spans="1:8">
      <c r="A26" t="s">
        <v>99</v>
      </c>
      <c r="C26" t="s">
        <v>100</v>
      </c>
    </row>
    <row r="27" spans="1:8">
      <c r="A27" t="s">
        <v>101</v>
      </c>
      <c r="B27">
        <v>1.2E-2</v>
      </c>
      <c r="C27" t="s">
        <v>101</v>
      </c>
      <c r="D27">
        <v>0</v>
      </c>
    </row>
    <row r="28" spans="1:8">
      <c r="A28" t="s">
        <v>79</v>
      </c>
      <c r="B28">
        <v>1.7399999999999999E-2</v>
      </c>
      <c r="C28" t="s">
        <v>79</v>
      </c>
      <c r="D28">
        <v>0</v>
      </c>
    </row>
    <row r="29" spans="1:8">
      <c r="A29" t="s">
        <v>80</v>
      </c>
      <c r="B29">
        <v>8.6E-3</v>
      </c>
      <c r="C29" t="s">
        <v>80</v>
      </c>
      <c r="D29">
        <v>0</v>
      </c>
    </row>
    <row r="30" spans="1:8">
      <c r="A30" t="s">
        <v>102</v>
      </c>
      <c r="B30">
        <v>1.2E-2</v>
      </c>
      <c r="C30" t="s">
        <v>102</v>
      </c>
      <c r="D30">
        <v>0</v>
      </c>
    </row>
    <row r="31" spans="1:8">
      <c r="A31" t="s">
        <v>91</v>
      </c>
      <c r="B31">
        <v>1.66E-2</v>
      </c>
      <c r="C31" t="s">
        <v>91</v>
      </c>
      <c r="D31">
        <v>0</v>
      </c>
    </row>
    <row r="32" spans="1:8">
      <c r="A32" t="s">
        <v>92</v>
      </c>
      <c r="B32">
        <v>9.7000000000000003E-3</v>
      </c>
      <c r="C32" t="s">
        <v>92</v>
      </c>
      <c r="D32">
        <v>0</v>
      </c>
    </row>
    <row r="33" spans="1:4">
      <c r="A33" s="290" t="s">
        <v>78</v>
      </c>
      <c r="B33">
        <f>SUM(B3:B32)</f>
        <v>16.54527787477079</v>
      </c>
      <c r="C33" s="290" t="s">
        <v>78</v>
      </c>
      <c r="D33">
        <f>SUM(D3:D32)</f>
        <v>2.8311432741883884</v>
      </c>
    </row>
    <row r="35" spans="1:4">
      <c r="A35" s="320" t="s">
        <v>103</v>
      </c>
      <c r="B35" s="320"/>
      <c r="C35" s="320"/>
      <c r="D35" s="320"/>
    </row>
    <row r="37" spans="1:4">
      <c r="A37" s="290" t="s">
        <v>53</v>
      </c>
      <c r="B37">
        <f>B33-D33</f>
        <v>13.714134600582401</v>
      </c>
    </row>
    <row r="38" spans="1:4">
      <c r="A38" s="290" t="s">
        <v>54</v>
      </c>
      <c r="B38">
        <f>ABS(B33/D33)</f>
        <v>5.8440270492894326</v>
      </c>
    </row>
    <row r="39" spans="1:4">
      <c r="A39" s="290" t="s">
        <v>56</v>
      </c>
      <c r="B39" s="296">
        <f>PV(0.04,4,,-B33)</f>
        <v>14.142972869105463</v>
      </c>
      <c r="C39" s="285" t="s">
        <v>108</v>
      </c>
    </row>
    <row r="40" spans="1:4">
      <c r="A40" s="290" t="s">
        <v>57</v>
      </c>
      <c r="B40" s="296">
        <f>PV(0.04,4,,-D33)</f>
        <v>2.4200731361818542</v>
      </c>
      <c r="C40" s="285"/>
    </row>
    <row r="41" spans="1:4">
      <c r="A41" s="290" t="s">
        <v>58</v>
      </c>
      <c r="B41" s="296">
        <f>B39-B40</f>
        <v>11.72289973292361</v>
      </c>
    </row>
    <row r="42" spans="1:4">
      <c r="A42" s="290" t="s">
        <v>59</v>
      </c>
      <c r="B42">
        <f>ABS(B37/D33)</f>
        <v>4.8440270492894326</v>
      </c>
    </row>
  </sheetData>
  <mergeCells count="3">
    <mergeCell ref="A1:D1"/>
    <mergeCell ref="G1:K1"/>
    <mergeCell ref="A35:D3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0" tint="-0.249977111117893"/>
  </sheetPr>
  <dimension ref="A1:I51"/>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39" customHeight="1">
      <c r="A1" s="321" t="s">
        <v>417</v>
      </c>
      <c r="B1" s="321"/>
      <c r="C1" s="321"/>
      <c r="D1" s="321"/>
      <c r="E1" s="321"/>
      <c r="F1" s="321"/>
      <c r="G1" s="321"/>
      <c r="H1" s="321"/>
      <c r="I1" s="321"/>
    </row>
    <row r="2" spans="1:9" ht="1.95" customHeight="1"/>
    <row r="3" spans="1:9" ht="13.95" customHeight="1">
      <c r="A3" s="371" t="s">
        <v>418</v>
      </c>
      <c r="B3" s="347" t="s">
        <v>167</v>
      </c>
      <c r="C3" s="330" t="s">
        <v>390</v>
      </c>
      <c r="D3" s="331"/>
      <c r="E3" s="331"/>
      <c r="F3" s="331"/>
      <c r="G3" s="331"/>
      <c r="H3" s="332"/>
    </row>
    <row r="4" spans="1:9" ht="27.75" customHeight="1">
      <c r="A4" s="376"/>
      <c r="B4" s="348"/>
      <c r="C4" s="5" t="s">
        <v>391</v>
      </c>
      <c r="D4" s="55" t="s">
        <v>392</v>
      </c>
      <c r="E4" s="56" t="s">
        <v>393</v>
      </c>
      <c r="F4" s="56" t="s">
        <v>394</v>
      </c>
      <c r="G4" s="57" t="s">
        <v>395</v>
      </c>
      <c r="H4" s="58" t="s">
        <v>396</v>
      </c>
    </row>
    <row r="5" spans="1:9" ht="12.45" customHeight="1">
      <c r="A5" s="6" t="s">
        <v>419</v>
      </c>
      <c r="B5" s="7">
        <v>51764000</v>
      </c>
      <c r="C5" s="7">
        <v>2911000</v>
      </c>
      <c r="D5" s="7">
        <v>1468000</v>
      </c>
      <c r="E5" s="7">
        <v>22217000</v>
      </c>
      <c r="F5" s="7">
        <v>3893000</v>
      </c>
      <c r="G5" s="7">
        <v>6634000</v>
      </c>
      <c r="H5" s="7">
        <v>14640000</v>
      </c>
    </row>
    <row r="6" spans="1:9" ht="12.45" customHeight="1">
      <c r="A6" s="8" t="s">
        <v>411</v>
      </c>
      <c r="B6" s="9">
        <v>22804000</v>
      </c>
      <c r="C6" s="9">
        <v>1317000</v>
      </c>
      <c r="D6" s="9">
        <v>615000</v>
      </c>
      <c r="E6" s="9">
        <v>9861000</v>
      </c>
      <c r="F6" s="9">
        <v>1745000</v>
      </c>
      <c r="G6" s="9">
        <v>2829000</v>
      </c>
      <c r="H6" s="9">
        <v>6436000</v>
      </c>
    </row>
    <row r="7" spans="1:9" ht="12.45" customHeight="1">
      <c r="A7" s="8" t="s">
        <v>412</v>
      </c>
      <c r="B7" s="9">
        <v>23329000</v>
      </c>
      <c r="C7" s="9">
        <v>1375000</v>
      </c>
      <c r="D7" s="9">
        <v>699000</v>
      </c>
      <c r="E7" s="9">
        <v>9808000</v>
      </c>
      <c r="F7" s="9">
        <v>1766000</v>
      </c>
      <c r="G7" s="9">
        <v>3184000</v>
      </c>
      <c r="H7" s="9">
        <v>6497000</v>
      </c>
    </row>
    <row r="8" spans="1:9" ht="12.45" customHeight="1">
      <c r="A8" s="8" t="s">
        <v>413</v>
      </c>
      <c r="B8" s="9">
        <v>4394000</v>
      </c>
      <c r="C8" s="9">
        <v>181000</v>
      </c>
      <c r="D8" s="9">
        <v>127000</v>
      </c>
      <c r="E8" s="9">
        <v>2020000</v>
      </c>
      <c r="F8" s="9">
        <v>316000</v>
      </c>
      <c r="G8" s="9">
        <v>486000</v>
      </c>
      <c r="H8" s="9">
        <v>1265000</v>
      </c>
    </row>
    <row r="9" spans="1:9" ht="12.45" customHeight="1">
      <c r="A9" s="8" t="s">
        <v>414</v>
      </c>
      <c r="B9" s="9">
        <v>1236000</v>
      </c>
      <c r="C9" s="9">
        <v>38000</v>
      </c>
      <c r="D9" s="9">
        <v>26000</v>
      </c>
      <c r="E9" s="9">
        <v>528000</v>
      </c>
      <c r="F9" s="9">
        <v>66000</v>
      </c>
      <c r="G9" s="9">
        <v>135000</v>
      </c>
      <c r="H9" s="9">
        <v>442000</v>
      </c>
    </row>
    <row r="10" spans="1:9" ht="12.45" customHeight="1">
      <c r="A10" s="8" t="s">
        <v>174</v>
      </c>
      <c r="B10" s="9">
        <v>7894000</v>
      </c>
      <c r="C10" s="9">
        <v>2224000</v>
      </c>
      <c r="D10" s="9">
        <v>769000</v>
      </c>
      <c r="E10" s="9">
        <v>1629000</v>
      </c>
      <c r="F10" s="9">
        <v>1834000</v>
      </c>
      <c r="G10" s="9">
        <v>428000</v>
      </c>
      <c r="H10" s="9">
        <v>1009000</v>
      </c>
    </row>
    <row r="11" spans="1:9" ht="12.45" customHeight="1">
      <c r="A11" s="10" t="s">
        <v>411</v>
      </c>
      <c r="B11" s="9">
        <v>3493000</v>
      </c>
      <c r="C11" s="9">
        <v>996000</v>
      </c>
      <c r="D11" s="9">
        <v>330000</v>
      </c>
      <c r="E11" s="9">
        <v>723000</v>
      </c>
      <c r="F11" s="9">
        <v>819000</v>
      </c>
      <c r="G11" s="9">
        <v>170000</v>
      </c>
      <c r="H11" s="9">
        <v>455000</v>
      </c>
    </row>
    <row r="12" spans="1:9" ht="12.45" customHeight="1">
      <c r="A12" s="10" t="s">
        <v>412</v>
      </c>
      <c r="B12" s="9">
        <v>3651000</v>
      </c>
      <c r="C12" s="9">
        <v>1053000</v>
      </c>
      <c r="D12" s="9">
        <v>370000</v>
      </c>
      <c r="E12" s="9">
        <v>727000</v>
      </c>
      <c r="F12" s="9">
        <v>839000</v>
      </c>
      <c r="G12" s="9">
        <v>203000</v>
      </c>
      <c r="H12" s="9">
        <v>459000</v>
      </c>
    </row>
    <row r="13" spans="1:9" ht="12.45" customHeight="1">
      <c r="A13" s="10" t="s">
        <v>413</v>
      </c>
      <c r="B13" s="9">
        <v>617000</v>
      </c>
      <c r="C13" s="9">
        <v>144000</v>
      </c>
      <c r="D13" s="9">
        <v>55000</v>
      </c>
      <c r="E13" s="9">
        <v>143000</v>
      </c>
      <c r="F13" s="9">
        <v>154000</v>
      </c>
      <c r="G13" s="9">
        <v>44000</v>
      </c>
      <c r="H13" s="9">
        <v>76000</v>
      </c>
    </row>
    <row r="14" spans="1:9" ht="12.45" customHeight="1">
      <c r="A14" s="10" t="s">
        <v>414</v>
      </c>
      <c r="B14" s="9">
        <v>133000</v>
      </c>
      <c r="C14" s="9">
        <v>31000</v>
      </c>
      <c r="D14" s="9">
        <v>14000</v>
      </c>
      <c r="E14" s="9">
        <v>36000</v>
      </c>
      <c r="F14" s="9">
        <v>22000</v>
      </c>
      <c r="G14" s="9">
        <v>12000</v>
      </c>
      <c r="H14" s="9">
        <v>19000</v>
      </c>
    </row>
    <row r="15" spans="1:9" ht="24.75" customHeight="1">
      <c r="A15" s="10" t="s">
        <v>227</v>
      </c>
      <c r="B15" s="11">
        <v>794000</v>
      </c>
      <c r="C15" s="11">
        <v>10000</v>
      </c>
      <c r="D15" s="11">
        <v>7000</v>
      </c>
      <c r="E15" s="11">
        <v>125000</v>
      </c>
      <c r="F15" s="11">
        <v>490000</v>
      </c>
      <c r="G15" s="11">
        <v>67000</v>
      </c>
      <c r="H15" s="11">
        <v>94000</v>
      </c>
    </row>
    <row r="16" spans="1:9" ht="12.45" customHeight="1">
      <c r="A16" s="12" t="s">
        <v>411</v>
      </c>
      <c r="B16" s="9">
        <v>346000</v>
      </c>
      <c r="C16" s="9">
        <v>5000</v>
      </c>
      <c r="D16" s="9">
        <v>2000</v>
      </c>
      <c r="E16" s="9">
        <v>60000</v>
      </c>
      <c r="F16" s="9">
        <v>220000</v>
      </c>
      <c r="G16" s="9">
        <v>27000</v>
      </c>
      <c r="H16" s="9">
        <v>32000</v>
      </c>
    </row>
    <row r="17" spans="1:8" ht="12.45" customHeight="1">
      <c r="A17" s="12" t="s">
        <v>412</v>
      </c>
      <c r="B17" s="9">
        <v>371000</v>
      </c>
      <c r="C17" s="9">
        <v>4000</v>
      </c>
      <c r="D17" s="9">
        <v>4000</v>
      </c>
      <c r="E17" s="9">
        <v>58000</v>
      </c>
      <c r="F17" s="9">
        <v>227000</v>
      </c>
      <c r="G17" s="9">
        <v>29000</v>
      </c>
      <c r="H17" s="9">
        <v>49000</v>
      </c>
    </row>
    <row r="18" spans="1:8" ht="12.45" customHeight="1">
      <c r="A18" s="12" t="s">
        <v>413</v>
      </c>
      <c r="B18" s="9">
        <v>65000</v>
      </c>
      <c r="C18" s="13" t="s">
        <v>191</v>
      </c>
      <c r="D18" s="9">
        <v>1000</v>
      </c>
      <c r="E18" s="9">
        <v>6000</v>
      </c>
      <c r="F18" s="9">
        <v>37000</v>
      </c>
      <c r="G18" s="9">
        <v>8000</v>
      </c>
      <c r="H18" s="9">
        <v>12000</v>
      </c>
    </row>
    <row r="19" spans="1:8" ht="12.45" customHeight="1">
      <c r="A19" s="12" t="s">
        <v>414</v>
      </c>
      <c r="B19" s="9">
        <v>12000</v>
      </c>
      <c r="C19" s="13" t="s">
        <v>220</v>
      </c>
      <c r="D19" s="13" t="s">
        <v>220</v>
      </c>
      <c r="E19" s="9">
        <v>2000</v>
      </c>
      <c r="F19" s="9">
        <v>5000</v>
      </c>
      <c r="G19" s="9">
        <v>4000</v>
      </c>
      <c r="H19" s="9">
        <v>1000</v>
      </c>
    </row>
    <row r="20" spans="1:8" ht="24.75" customHeight="1">
      <c r="A20" s="10" t="s">
        <v>228</v>
      </c>
      <c r="B20" s="11">
        <v>4031000</v>
      </c>
      <c r="C20" s="11">
        <v>2077000</v>
      </c>
      <c r="D20" s="11">
        <v>244000</v>
      </c>
      <c r="E20" s="11">
        <v>722000</v>
      </c>
      <c r="F20" s="11">
        <v>507000</v>
      </c>
      <c r="G20" s="11">
        <v>125000</v>
      </c>
      <c r="H20" s="11">
        <v>357000</v>
      </c>
    </row>
    <row r="21" spans="1:8" ht="12.45" customHeight="1">
      <c r="A21" s="12" t="s">
        <v>411</v>
      </c>
      <c r="B21" s="9">
        <v>1736000</v>
      </c>
      <c r="C21" s="9">
        <v>925000</v>
      </c>
      <c r="D21" s="9">
        <v>92000</v>
      </c>
      <c r="E21" s="9">
        <v>316000</v>
      </c>
      <c r="F21" s="9">
        <v>208000</v>
      </c>
      <c r="G21" s="9">
        <v>52000</v>
      </c>
      <c r="H21" s="9">
        <v>143000</v>
      </c>
    </row>
    <row r="22" spans="1:8" ht="12.45" customHeight="1">
      <c r="A22" s="12" t="s">
        <v>412</v>
      </c>
      <c r="B22" s="9">
        <v>1896000</v>
      </c>
      <c r="C22" s="9">
        <v>988000</v>
      </c>
      <c r="D22" s="9">
        <v>130000</v>
      </c>
      <c r="E22" s="9">
        <v>301000</v>
      </c>
      <c r="F22" s="9">
        <v>243000</v>
      </c>
      <c r="G22" s="9">
        <v>57000</v>
      </c>
      <c r="H22" s="9">
        <v>178000</v>
      </c>
    </row>
    <row r="23" spans="1:8" ht="12.45" customHeight="1">
      <c r="A23" s="12" t="s">
        <v>413</v>
      </c>
      <c r="B23" s="9">
        <v>332000</v>
      </c>
      <c r="C23" s="9">
        <v>134000</v>
      </c>
      <c r="D23" s="9">
        <v>16000</v>
      </c>
      <c r="E23" s="9">
        <v>84000</v>
      </c>
      <c r="F23" s="9">
        <v>52000</v>
      </c>
      <c r="G23" s="9">
        <v>14000</v>
      </c>
      <c r="H23" s="9">
        <v>30000</v>
      </c>
    </row>
    <row r="24" spans="1:8" ht="12.45" customHeight="1">
      <c r="A24" s="12" t="s">
        <v>414</v>
      </c>
      <c r="B24" s="9">
        <v>67000</v>
      </c>
      <c r="C24" s="9">
        <v>30000</v>
      </c>
      <c r="D24" s="9">
        <v>5000</v>
      </c>
      <c r="E24" s="9">
        <v>20000</v>
      </c>
      <c r="F24" s="9">
        <v>4000</v>
      </c>
      <c r="G24" s="9">
        <v>3000</v>
      </c>
      <c r="H24" s="9">
        <v>6000</v>
      </c>
    </row>
    <row r="25" spans="1:8" ht="24.75" customHeight="1">
      <c r="A25" s="10" t="s">
        <v>229</v>
      </c>
      <c r="B25" s="11">
        <v>408000</v>
      </c>
      <c r="C25" s="11">
        <v>9000</v>
      </c>
      <c r="D25" s="11">
        <v>6000</v>
      </c>
      <c r="E25" s="11">
        <v>65000</v>
      </c>
      <c r="F25" s="11">
        <v>199000</v>
      </c>
      <c r="G25" s="11">
        <v>59000</v>
      </c>
      <c r="H25" s="11">
        <v>70000</v>
      </c>
    </row>
    <row r="26" spans="1:8" ht="12.45" customHeight="1">
      <c r="A26" s="12" t="s">
        <v>411</v>
      </c>
      <c r="B26" s="9">
        <v>166000</v>
      </c>
      <c r="C26" s="9">
        <v>3000</v>
      </c>
      <c r="D26" s="9">
        <v>2000</v>
      </c>
      <c r="E26" s="9">
        <v>27000</v>
      </c>
      <c r="F26" s="9">
        <v>87000</v>
      </c>
      <c r="G26" s="9">
        <v>20000</v>
      </c>
      <c r="H26" s="9">
        <v>26000</v>
      </c>
    </row>
    <row r="27" spans="1:8" ht="12.45" customHeight="1">
      <c r="A27" s="12" t="s">
        <v>412</v>
      </c>
      <c r="B27" s="9">
        <v>202000</v>
      </c>
      <c r="C27" s="9">
        <v>6000</v>
      </c>
      <c r="D27" s="9">
        <v>3000</v>
      </c>
      <c r="E27" s="9">
        <v>33000</v>
      </c>
      <c r="F27" s="9">
        <v>92000</v>
      </c>
      <c r="G27" s="9">
        <v>32000</v>
      </c>
      <c r="H27" s="9">
        <v>36000</v>
      </c>
    </row>
    <row r="28" spans="1:8" ht="12.45" customHeight="1">
      <c r="A28" s="12" t="s">
        <v>413</v>
      </c>
      <c r="B28" s="9">
        <v>33000</v>
      </c>
      <c r="C28" s="13" t="s">
        <v>220</v>
      </c>
      <c r="D28" s="13" t="s">
        <v>220</v>
      </c>
      <c r="E28" s="9">
        <v>5000</v>
      </c>
      <c r="F28" s="9">
        <v>17000</v>
      </c>
      <c r="G28" s="9">
        <v>5000</v>
      </c>
      <c r="H28" s="9">
        <v>6000</v>
      </c>
    </row>
    <row r="29" spans="1:8" ht="12.45" customHeight="1">
      <c r="A29" s="12" t="s">
        <v>414</v>
      </c>
      <c r="B29" s="9">
        <v>8000</v>
      </c>
      <c r="C29" s="13" t="s">
        <v>220</v>
      </c>
      <c r="D29" s="13" t="s">
        <v>220</v>
      </c>
      <c r="E29" s="9">
        <v>1000</v>
      </c>
      <c r="F29" s="9">
        <v>3000</v>
      </c>
      <c r="G29" s="13" t="s">
        <v>220</v>
      </c>
      <c r="H29" s="13" t="s">
        <v>191</v>
      </c>
    </row>
    <row r="30" spans="1:8" ht="12.45" customHeight="1">
      <c r="A30" s="10" t="s">
        <v>230</v>
      </c>
      <c r="B30" s="9">
        <v>712000</v>
      </c>
      <c r="C30" s="9">
        <v>13000</v>
      </c>
      <c r="D30" s="9">
        <v>9000</v>
      </c>
      <c r="E30" s="9">
        <v>110000</v>
      </c>
      <c r="F30" s="9">
        <v>197000</v>
      </c>
      <c r="G30" s="9">
        <v>138000</v>
      </c>
      <c r="H30" s="9">
        <v>245000</v>
      </c>
    </row>
    <row r="31" spans="1:8" ht="12.45" customHeight="1">
      <c r="A31" s="12" t="s">
        <v>411</v>
      </c>
      <c r="B31" s="9">
        <v>335000</v>
      </c>
      <c r="C31" s="13" t="s">
        <v>191</v>
      </c>
      <c r="D31" s="9">
        <v>4000</v>
      </c>
      <c r="E31" s="9">
        <v>35000</v>
      </c>
      <c r="F31" s="9">
        <v>101000</v>
      </c>
      <c r="G31" s="9">
        <v>53000</v>
      </c>
      <c r="H31" s="9">
        <v>133000</v>
      </c>
    </row>
    <row r="32" spans="1:8" ht="12.45" customHeight="1">
      <c r="A32" s="12" t="s">
        <v>412</v>
      </c>
      <c r="B32" s="9">
        <v>313000</v>
      </c>
      <c r="C32" s="9">
        <v>4000</v>
      </c>
      <c r="D32" s="9">
        <v>5000</v>
      </c>
      <c r="E32" s="9">
        <v>63000</v>
      </c>
      <c r="F32" s="9">
        <v>73000</v>
      </c>
      <c r="G32" s="9">
        <v>67000</v>
      </c>
      <c r="H32" s="9">
        <v>101000</v>
      </c>
    </row>
    <row r="33" spans="1:8" ht="12.45" customHeight="1">
      <c r="A33" s="12" t="s">
        <v>413</v>
      </c>
      <c r="B33" s="9">
        <v>50000</v>
      </c>
      <c r="C33" s="13" t="s">
        <v>222</v>
      </c>
      <c r="D33" s="13" t="s">
        <v>220</v>
      </c>
      <c r="E33" s="9">
        <v>6000</v>
      </c>
      <c r="F33" s="9">
        <v>20000</v>
      </c>
      <c r="G33" s="9">
        <v>15000</v>
      </c>
      <c r="H33" s="9">
        <v>9000</v>
      </c>
    </row>
    <row r="34" spans="1:8" ht="12.45" customHeight="1">
      <c r="A34" s="12" t="s">
        <v>414</v>
      </c>
      <c r="B34" s="9">
        <v>14000</v>
      </c>
      <c r="C34" s="13" t="s">
        <v>220</v>
      </c>
      <c r="D34" s="13" t="s">
        <v>220</v>
      </c>
      <c r="E34" s="13" t="s">
        <v>191</v>
      </c>
      <c r="F34" s="9">
        <v>2000</v>
      </c>
      <c r="G34" s="13" t="s">
        <v>191</v>
      </c>
      <c r="H34" s="9">
        <v>1000</v>
      </c>
    </row>
    <row r="35" spans="1:8" ht="12.45" customHeight="1">
      <c r="A35" s="10" t="s">
        <v>231</v>
      </c>
      <c r="B35" s="9">
        <v>1949000</v>
      </c>
      <c r="C35" s="9">
        <v>115000</v>
      </c>
      <c r="D35" s="9">
        <v>503000</v>
      </c>
      <c r="E35" s="9">
        <v>608000</v>
      </c>
      <c r="F35" s="9">
        <v>442000</v>
      </c>
      <c r="G35" s="9">
        <v>38000</v>
      </c>
      <c r="H35" s="9">
        <v>242000</v>
      </c>
    </row>
    <row r="36" spans="1:8" ht="12.45" customHeight="1">
      <c r="A36" s="12" t="s">
        <v>411</v>
      </c>
      <c r="B36" s="9">
        <v>911000</v>
      </c>
      <c r="C36" s="9">
        <v>55000</v>
      </c>
      <c r="D36" s="9">
        <v>230000</v>
      </c>
      <c r="E36" s="9">
        <v>284000</v>
      </c>
      <c r="F36" s="9">
        <v>203000</v>
      </c>
      <c r="G36" s="9">
        <v>18000</v>
      </c>
      <c r="H36" s="9">
        <v>121000</v>
      </c>
    </row>
    <row r="37" spans="1:8" ht="12.45" customHeight="1">
      <c r="A37" s="12" t="s">
        <v>412</v>
      </c>
      <c r="B37" s="9">
        <v>869000</v>
      </c>
      <c r="C37" s="9">
        <v>51000</v>
      </c>
      <c r="D37" s="9">
        <v>229000</v>
      </c>
      <c r="E37" s="9">
        <v>273000</v>
      </c>
      <c r="F37" s="9">
        <v>204000</v>
      </c>
      <c r="G37" s="9">
        <v>18000</v>
      </c>
      <c r="H37" s="9">
        <v>94000</v>
      </c>
    </row>
    <row r="38" spans="1:8" ht="12.45" customHeight="1">
      <c r="A38" s="12" t="s">
        <v>413</v>
      </c>
      <c r="B38" s="9">
        <v>137000</v>
      </c>
      <c r="C38" s="9">
        <v>8000</v>
      </c>
      <c r="D38" s="9">
        <v>37000</v>
      </c>
      <c r="E38" s="9">
        <v>43000</v>
      </c>
      <c r="F38" s="9">
        <v>27000</v>
      </c>
      <c r="G38" s="9">
        <v>2000</v>
      </c>
      <c r="H38" s="9">
        <v>20000</v>
      </c>
    </row>
    <row r="39" spans="1:8" ht="12.45" customHeight="1">
      <c r="A39" s="12" t="s">
        <v>414</v>
      </c>
      <c r="B39" s="9">
        <v>32000</v>
      </c>
      <c r="C39" s="9">
        <v>1000</v>
      </c>
      <c r="D39" s="9">
        <v>8000</v>
      </c>
      <c r="E39" s="9">
        <v>7000</v>
      </c>
      <c r="F39" s="9">
        <v>7000</v>
      </c>
      <c r="G39" s="13" t="s">
        <v>220</v>
      </c>
      <c r="H39" s="9">
        <v>8000</v>
      </c>
    </row>
    <row r="40" spans="1:8" ht="12.45" customHeight="1">
      <c r="A40" s="8" t="s">
        <v>175</v>
      </c>
      <c r="B40" s="9">
        <v>9522000</v>
      </c>
      <c r="C40" s="9">
        <v>330000</v>
      </c>
      <c r="D40" s="9">
        <v>248000</v>
      </c>
      <c r="E40" s="9">
        <v>1665000</v>
      </c>
      <c r="F40" s="9">
        <v>568000</v>
      </c>
      <c r="G40" s="9">
        <v>1138000</v>
      </c>
      <c r="H40" s="9">
        <v>5573000</v>
      </c>
    </row>
    <row r="41" spans="1:8" ht="12.45" customHeight="1">
      <c r="A41" s="10" t="s">
        <v>411</v>
      </c>
      <c r="B41" s="9">
        <v>4272000</v>
      </c>
      <c r="C41" s="9">
        <v>162000</v>
      </c>
      <c r="D41" s="9">
        <v>115000</v>
      </c>
      <c r="E41" s="9">
        <v>758000</v>
      </c>
      <c r="F41" s="9">
        <v>254000</v>
      </c>
      <c r="G41" s="9">
        <v>502000</v>
      </c>
      <c r="H41" s="9">
        <v>2482000</v>
      </c>
    </row>
    <row r="42" spans="1:8" ht="12.45" customHeight="1">
      <c r="A42" s="10" t="s">
        <v>412</v>
      </c>
      <c r="B42" s="9">
        <v>4346000</v>
      </c>
      <c r="C42" s="9">
        <v>153000</v>
      </c>
      <c r="D42" s="9">
        <v>106000</v>
      </c>
      <c r="E42" s="9">
        <v>755000</v>
      </c>
      <c r="F42" s="9">
        <v>277000</v>
      </c>
      <c r="G42" s="9">
        <v>521000</v>
      </c>
      <c r="H42" s="9">
        <v>2533000</v>
      </c>
    </row>
    <row r="43" spans="1:8" ht="12.45" customHeight="1">
      <c r="A43" s="10" t="s">
        <v>413</v>
      </c>
      <c r="B43" s="9">
        <v>706000</v>
      </c>
      <c r="C43" s="9">
        <v>13000</v>
      </c>
      <c r="D43" s="9">
        <v>23000</v>
      </c>
      <c r="E43" s="9">
        <v>122000</v>
      </c>
      <c r="F43" s="9">
        <v>31000</v>
      </c>
      <c r="G43" s="9">
        <v>94000</v>
      </c>
      <c r="H43" s="9">
        <v>423000</v>
      </c>
    </row>
    <row r="44" spans="1:8" ht="12.45" customHeight="1">
      <c r="A44" s="10" t="s">
        <v>414</v>
      </c>
      <c r="B44" s="9">
        <v>198000</v>
      </c>
      <c r="C44" s="9">
        <v>3000</v>
      </c>
      <c r="D44" s="13" t="s">
        <v>191</v>
      </c>
      <c r="E44" s="9">
        <v>30000</v>
      </c>
      <c r="F44" s="9">
        <v>5000</v>
      </c>
      <c r="G44" s="9">
        <v>21000</v>
      </c>
      <c r="H44" s="9">
        <v>134000</v>
      </c>
    </row>
    <row r="45" spans="1:8" ht="12.45" customHeight="1">
      <c r="A45" s="8" t="s">
        <v>176</v>
      </c>
      <c r="B45" s="9">
        <v>34349000</v>
      </c>
      <c r="C45" s="9">
        <v>357000</v>
      </c>
      <c r="D45" s="9">
        <v>451000</v>
      </c>
      <c r="E45" s="9">
        <v>18923000</v>
      </c>
      <c r="F45" s="9">
        <v>1491000</v>
      </c>
      <c r="G45" s="9">
        <v>5068000</v>
      </c>
      <c r="H45" s="9">
        <v>8058000</v>
      </c>
    </row>
    <row r="46" spans="1:8" ht="12.45" customHeight="1">
      <c r="A46" s="10" t="s">
        <v>411</v>
      </c>
      <c r="B46" s="9">
        <v>15038000</v>
      </c>
      <c r="C46" s="9">
        <v>159000</v>
      </c>
      <c r="D46" s="9">
        <v>170000</v>
      </c>
      <c r="E46" s="9">
        <v>8380000</v>
      </c>
      <c r="F46" s="9">
        <v>672000</v>
      </c>
      <c r="G46" s="9">
        <v>2158000</v>
      </c>
      <c r="H46" s="9">
        <v>3499000</v>
      </c>
    </row>
    <row r="47" spans="1:8" ht="12.45" customHeight="1">
      <c r="A47" s="10" t="s">
        <v>412</v>
      </c>
      <c r="B47" s="9">
        <v>15333000</v>
      </c>
      <c r="C47" s="9">
        <v>169000</v>
      </c>
      <c r="D47" s="9">
        <v>223000</v>
      </c>
      <c r="E47" s="9">
        <v>8326000</v>
      </c>
      <c r="F47" s="9">
        <v>650000</v>
      </c>
      <c r="G47" s="9">
        <v>2460000</v>
      </c>
      <c r="H47" s="9">
        <v>3506000</v>
      </c>
    </row>
    <row r="48" spans="1:8" ht="12.45" customHeight="1">
      <c r="A48" s="10" t="s">
        <v>413</v>
      </c>
      <c r="B48" s="9">
        <v>3072000</v>
      </c>
      <c r="C48" s="9">
        <v>24000</v>
      </c>
      <c r="D48" s="9">
        <v>50000</v>
      </c>
      <c r="E48" s="9">
        <v>1755000</v>
      </c>
      <c r="F48" s="9">
        <v>130000</v>
      </c>
      <c r="G48" s="9">
        <v>348000</v>
      </c>
      <c r="H48" s="9">
        <v>765000</v>
      </c>
    </row>
    <row r="49" spans="1:8" ht="12.45" customHeight="1">
      <c r="A49" s="10" t="s">
        <v>414</v>
      </c>
      <c r="B49" s="9">
        <v>905000</v>
      </c>
      <c r="C49" s="13" t="s">
        <v>191</v>
      </c>
      <c r="D49" s="13" t="s">
        <v>191</v>
      </c>
      <c r="E49" s="9">
        <v>462000</v>
      </c>
      <c r="F49" s="9">
        <v>40000</v>
      </c>
      <c r="G49" s="9">
        <v>102000</v>
      </c>
      <c r="H49" s="9">
        <v>289000</v>
      </c>
    </row>
    <row r="50" spans="1:8" ht="12.45" customHeight="1">
      <c r="A50" s="8" t="s">
        <v>282</v>
      </c>
      <c r="B50" s="9">
        <v>26493000</v>
      </c>
      <c r="C50" s="9">
        <v>638000</v>
      </c>
      <c r="D50" s="9">
        <v>417000</v>
      </c>
      <c r="E50" s="9">
        <v>11070000</v>
      </c>
      <c r="F50" s="9">
        <v>1624000</v>
      </c>
      <c r="G50" s="9">
        <v>4652000</v>
      </c>
      <c r="H50" s="9">
        <v>8093000</v>
      </c>
    </row>
    <row r="51" spans="1:8" ht="12.45" customHeight="1">
      <c r="A51" s="10" t="s">
        <v>411</v>
      </c>
      <c r="B51" s="9">
        <v>11230000</v>
      </c>
      <c r="C51" s="9">
        <v>289000</v>
      </c>
      <c r="D51" s="9">
        <v>160000</v>
      </c>
      <c r="E51" s="9">
        <v>4727000</v>
      </c>
      <c r="F51" s="9">
        <v>691000</v>
      </c>
      <c r="G51" s="9">
        <v>1901000</v>
      </c>
      <c r="H51" s="9">
        <v>3462000</v>
      </c>
    </row>
  </sheetData>
  <mergeCells count="4">
    <mergeCell ref="A1:I1"/>
    <mergeCell ref="A3:A4"/>
    <mergeCell ref="B3:B4"/>
    <mergeCell ref="C3:H3"/>
  </mergeCell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0" tint="-0.249977111117893"/>
  </sheetPr>
  <dimension ref="A1:I50"/>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39" customHeight="1">
      <c r="A1" s="321" t="s">
        <v>417</v>
      </c>
      <c r="B1" s="321"/>
      <c r="C1" s="321"/>
      <c r="D1" s="321"/>
      <c r="E1" s="321"/>
      <c r="F1" s="321"/>
      <c r="G1" s="321"/>
      <c r="H1" s="321"/>
      <c r="I1" s="321"/>
    </row>
    <row r="2" spans="1:9" ht="1.95" customHeight="1"/>
    <row r="3" spans="1:9" ht="13.95" customHeight="1">
      <c r="A3" s="371" t="s">
        <v>418</v>
      </c>
      <c r="B3" s="347" t="s">
        <v>167</v>
      </c>
      <c r="C3" s="330" t="s">
        <v>390</v>
      </c>
      <c r="D3" s="331"/>
      <c r="E3" s="331"/>
      <c r="F3" s="331"/>
      <c r="G3" s="331"/>
      <c r="H3" s="332"/>
    </row>
    <row r="4" spans="1:9" ht="27.75" customHeight="1">
      <c r="A4" s="376"/>
      <c r="B4" s="348"/>
      <c r="C4" s="5" t="s">
        <v>391</v>
      </c>
      <c r="D4" s="55" t="s">
        <v>392</v>
      </c>
      <c r="E4" s="56" t="s">
        <v>393</v>
      </c>
      <c r="F4" s="56" t="s">
        <v>394</v>
      </c>
      <c r="G4" s="57" t="s">
        <v>395</v>
      </c>
      <c r="H4" s="58" t="s">
        <v>396</v>
      </c>
    </row>
    <row r="5" spans="1:9" ht="12.45" customHeight="1">
      <c r="A5" s="14" t="s">
        <v>412</v>
      </c>
      <c r="B5" s="7">
        <v>12225000</v>
      </c>
      <c r="C5" s="7">
        <v>301000</v>
      </c>
      <c r="D5" s="7">
        <v>206000</v>
      </c>
      <c r="E5" s="7">
        <v>4982000</v>
      </c>
      <c r="F5" s="7">
        <v>762000</v>
      </c>
      <c r="G5" s="7">
        <v>2296000</v>
      </c>
      <c r="H5" s="7">
        <v>3679000</v>
      </c>
    </row>
    <row r="6" spans="1:9" ht="12.45" customHeight="1">
      <c r="A6" s="10" t="s">
        <v>413</v>
      </c>
      <c r="B6" s="9">
        <v>2309000</v>
      </c>
      <c r="C6" s="9">
        <v>37000</v>
      </c>
      <c r="D6" s="9">
        <v>41000</v>
      </c>
      <c r="E6" s="9">
        <v>1043000</v>
      </c>
      <c r="F6" s="9">
        <v>135000</v>
      </c>
      <c r="G6" s="9">
        <v>352000</v>
      </c>
      <c r="H6" s="9">
        <v>701000</v>
      </c>
    </row>
    <row r="7" spans="1:9" ht="12.45" customHeight="1">
      <c r="A7" s="10" t="s">
        <v>414</v>
      </c>
      <c r="B7" s="9">
        <v>729000</v>
      </c>
      <c r="C7" s="9">
        <v>11000</v>
      </c>
      <c r="D7" s="9">
        <v>9000</v>
      </c>
      <c r="E7" s="9">
        <v>319000</v>
      </c>
      <c r="F7" s="9">
        <v>36000</v>
      </c>
      <c r="G7" s="9">
        <v>103000</v>
      </c>
      <c r="H7" s="9">
        <v>252000</v>
      </c>
    </row>
    <row r="8" spans="1:9" ht="12.45" customHeight="1">
      <c r="A8" s="10" t="s">
        <v>174</v>
      </c>
      <c r="B8" s="9">
        <v>2300000</v>
      </c>
      <c r="C8" s="9">
        <v>444000</v>
      </c>
      <c r="D8" s="9">
        <v>156000</v>
      </c>
      <c r="E8" s="9">
        <v>516000</v>
      </c>
      <c r="F8" s="9">
        <v>616000</v>
      </c>
      <c r="G8" s="9">
        <v>191000</v>
      </c>
      <c r="H8" s="9">
        <v>376000</v>
      </c>
    </row>
    <row r="9" spans="1:9" ht="12.45" customHeight="1">
      <c r="A9" s="12" t="s">
        <v>411</v>
      </c>
      <c r="B9" s="9">
        <v>990000</v>
      </c>
      <c r="C9" s="9">
        <v>203000</v>
      </c>
      <c r="D9" s="9">
        <v>62000</v>
      </c>
      <c r="E9" s="9">
        <v>211000</v>
      </c>
      <c r="F9" s="9">
        <v>267000</v>
      </c>
      <c r="G9" s="9">
        <v>70000</v>
      </c>
      <c r="H9" s="9">
        <v>176000</v>
      </c>
    </row>
    <row r="10" spans="1:9" ht="12.45" customHeight="1">
      <c r="A10" s="12" t="s">
        <v>412</v>
      </c>
      <c r="B10" s="9">
        <v>1077000</v>
      </c>
      <c r="C10" s="9">
        <v>207000</v>
      </c>
      <c r="D10" s="9">
        <v>79000</v>
      </c>
      <c r="E10" s="9">
        <v>241000</v>
      </c>
      <c r="F10" s="9">
        <v>285000</v>
      </c>
      <c r="G10" s="9">
        <v>96000</v>
      </c>
      <c r="H10" s="9">
        <v>169000</v>
      </c>
    </row>
    <row r="11" spans="1:9" ht="12.45" customHeight="1">
      <c r="A11" s="12" t="s">
        <v>413</v>
      </c>
      <c r="B11" s="9">
        <v>179000</v>
      </c>
      <c r="C11" s="9">
        <v>27000</v>
      </c>
      <c r="D11" s="9">
        <v>12000</v>
      </c>
      <c r="E11" s="9">
        <v>44000</v>
      </c>
      <c r="F11" s="9">
        <v>54000</v>
      </c>
      <c r="G11" s="9">
        <v>17000</v>
      </c>
      <c r="H11" s="9">
        <v>25000</v>
      </c>
    </row>
    <row r="12" spans="1:9" ht="12.45" customHeight="1">
      <c r="A12" s="12" t="s">
        <v>414</v>
      </c>
      <c r="B12" s="9">
        <v>54000</v>
      </c>
      <c r="C12" s="9">
        <v>7000</v>
      </c>
      <c r="D12" s="9">
        <v>4000</v>
      </c>
      <c r="E12" s="9">
        <v>19000</v>
      </c>
      <c r="F12" s="9">
        <v>11000</v>
      </c>
      <c r="G12" s="9">
        <v>7000</v>
      </c>
      <c r="H12" s="9">
        <v>6000</v>
      </c>
    </row>
    <row r="13" spans="1:9" ht="24.75" customHeight="1">
      <c r="A13" s="12" t="s">
        <v>227</v>
      </c>
      <c r="B13" s="11">
        <v>367000</v>
      </c>
      <c r="C13" s="11">
        <v>4000</v>
      </c>
      <c r="D13" s="11">
        <v>3000</v>
      </c>
      <c r="E13" s="11">
        <v>65000</v>
      </c>
      <c r="F13" s="11">
        <v>210000</v>
      </c>
      <c r="G13" s="11">
        <v>36000</v>
      </c>
      <c r="H13" s="11">
        <v>49000</v>
      </c>
    </row>
    <row r="14" spans="1:9" ht="12.45" customHeight="1">
      <c r="A14" s="15" t="s">
        <v>411</v>
      </c>
      <c r="B14" s="9">
        <v>160000</v>
      </c>
      <c r="C14" s="9">
        <v>1000</v>
      </c>
      <c r="D14" s="13" t="s">
        <v>191</v>
      </c>
      <c r="E14" s="9">
        <v>32000</v>
      </c>
      <c r="F14" s="9">
        <v>92000</v>
      </c>
      <c r="G14" s="9">
        <v>12000</v>
      </c>
      <c r="H14" s="9">
        <v>21000</v>
      </c>
    </row>
    <row r="15" spans="1:9" ht="12.45" customHeight="1">
      <c r="A15" s="15" t="s">
        <v>412</v>
      </c>
      <c r="B15" s="9">
        <v>167000</v>
      </c>
      <c r="C15" s="9">
        <v>2000</v>
      </c>
      <c r="D15" s="13" t="s">
        <v>191</v>
      </c>
      <c r="E15" s="9">
        <v>30000</v>
      </c>
      <c r="F15" s="9">
        <v>95000</v>
      </c>
      <c r="G15" s="9">
        <v>16000</v>
      </c>
      <c r="H15" s="9">
        <v>22000</v>
      </c>
    </row>
    <row r="16" spans="1:9" ht="12.45" customHeight="1">
      <c r="A16" s="39" t="s">
        <v>413</v>
      </c>
      <c r="B16" s="9">
        <v>33000</v>
      </c>
      <c r="C16" s="13" t="s">
        <v>220</v>
      </c>
      <c r="D16" s="13" t="s">
        <v>220</v>
      </c>
      <c r="E16" s="9">
        <v>3000</v>
      </c>
      <c r="F16" s="9">
        <v>19000</v>
      </c>
      <c r="G16" s="9">
        <v>6000</v>
      </c>
      <c r="H16" s="9">
        <v>5000</v>
      </c>
    </row>
    <row r="17" spans="1:8" ht="12.45" customHeight="1">
      <c r="A17" s="15" t="s">
        <v>414</v>
      </c>
      <c r="B17" s="9">
        <v>7000</v>
      </c>
      <c r="C17" s="13" t="s">
        <v>220</v>
      </c>
      <c r="D17" s="13" t="s">
        <v>220</v>
      </c>
      <c r="E17" s="13" t="s">
        <v>191</v>
      </c>
      <c r="F17" s="9">
        <v>3000</v>
      </c>
      <c r="G17" s="13" t="s">
        <v>191</v>
      </c>
      <c r="H17" s="13" t="s">
        <v>191</v>
      </c>
    </row>
    <row r="18" spans="1:8" ht="24.75" customHeight="1">
      <c r="A18" s="12" t="s">
        <v>228</v>
      </c>
      <c r="B18" s="11">
        <v>1053000</v>
      </c>
      <c r="C18" s="11">
        <v>414000</v>
      </c>
      <c r="D18" s="11">
        <v>72000</v>
      </c>
      <c r="E18" s="11">
        <v>255000</v>
      </c>
      <c r="F18" s="11">
        <v>163000</v>
      </c>
      <c r="G18" s="11">
        <v>50000</v>
      </c>
      <c r="H18" s="11">
        <v>99000</v>
      </c>
    </row>
    <row r="19" spans="1:8" ht="12.45" customHeight="1">
      <c r="A19" s="15" t="s">
        <v>411</v>
      </c>
      <c r="B19" s="9">
        <v>435000</v>
      </c>
      <c r="C19" s="9">
        <v>185000</v>
      </c>
      <c r="D19" s="9">
        <v>29000</v>
      </c>
      <c r="E19" s="9">
        <v>102000</v>
      </c>
      <c r="F19" s="9">
        <v>56000</v>
      </c>
      <c r="G19" s="9">
        <v>23000</v>
      </c>
      <c r="H19" s="9">
        <v>40000</v>
      </c>
    </row>
    <row r="20" spans="1:8" ht="12.45" customHeight="1">
      <c r="A20" s="15" t="s">
        <v>412</v>
      </c>
      <c r="B20" s="9">
        <v>503000</v>
      </c>
      <c r="C20" s="9">
        <v>196000</v>
      </c>
      <c r="D20" s="9">
        <v>35000</v>
      </c>
      <c r="E20" s="9">
        <v>110000</v>
      </c>
      <c r="F20" s="9">
        <v>88000</v>
      </c>
      <c r="G20" s="9">
        <v>24000</v>
      </c>
      <c r="H20" s="9">
        <v>50000</v>
      </c>
    </row>
    <row r="21" spans="1:8" ht="12.45" customHeight="1">
      <c r="A21" s="39" t="s">
        <v>413</v>
      </c>
      <c r="B21" s="9">
        <v>93000</v>
      </c>
      <c r="C21" s="9">
        <v>26000</v>
      </c>
      <c r="D21" s="9">
        <v>6000</v>
      </c>
      <c r="E21" s="9">
        <v>32000</v>
      </c>
      <c r="F21" s="9">
        <v>17000</v>
      </c>
      <c r="G21" s="9">
        <v>3000</v>
      </c>
      <c r="H21" s="9">
        <v>8000</v>
      </c>
    </row>
    <row r="22" spans="1:8" ht="12.45" customHeight="1">
      <c r="A22" s="15" t="s">
        <v>414</v>
      </c>
      <c r="B22" s="9">
        <v>22000</v>
      </c>
      <c r="C22" s="9">
        <v>7000</v>
      </c>
      <c r="D22" s="13" t="s">
        <v>191</v>
      </c>
      <c r="E22" s="9">
        <v>11000</v>
      </c>
      <c r="F22" s="13" t="s">
        <v>191</v>
      </c>
      <c r="G22" s="13" t="s">
        <v>220</v>
      </c>
      <c r="H22" s="13" t="s">
        <v>220</v>
      </c>
    </row>
    <row r="23" spans="1:8" ht="24.75" customHeight="1">
      <c r="A23" s="12" t="s">
        <v>229</v>
      </c>
      <c r="B23" s="11">
        <v>135000</v>
      </c>
      <c r="C23" s="16" t="s">
        <v>191</v>
      </c>
      <c r="D23" s="16" t="s">
        <v>191</v>
      </c>
      <c r="E23" s="11">
        <v>21000</v>
      </c>
      <c r="F23" s="11">
        <v>64000</v>
      </c>
      <c r="G23" s="11">
        <v>23000</v>
      </c>
      <c r="H23" s="11">
        <v>25000</v>
      </c>
    </row>
    <row r="24" spans="1:8" ht="12.45" customHeight="1">
      <c r="A24" s="15" t="s">
        <v>411</v>
      </c>
      <c r="B24" s="9">
        <v>51000</v>
      </c>
      <c r="C24" s="13" t="s">
        <v>191</v>
      </c>
      <c r="D24" s="13" t="s">
        <v>220</v>
      </c>
      <c r="E24" s="9">
        <v>9000</v>
      </c>
      <c r="F24" s="9">
        <v>25000</v>
      </c>
      <c r="G24" s="9">
        <v>6000</v>
      </c>
      <c r="H24" s="9">
        <v>9000</v>
      </c>
    </row>
    <row r="25" spans="1:8" ht="12.45" customHeight="1">
      <c r="A25" s="15" t="s">
        <v>412</v>
      </c>
      <c r="B25" s="9">
        <v>72000</v>
      </c>
      <c r="C25" s="13" t="s">
        <v>222</v>
      </c>
      <c r="D25" s="13" t="s">
        <v>220</v>
      </c>
      <c r="E25" s="9">
        <v>11000</v>
      </c>
      <c r="F25" s="9">
        <v>30000</v>
      </c>
      <c r="G25" s="9">
        <v>16000</v>
      </c>
      <c r="H25" s="9">
        <v>14000</v>
      </c>
    </row>
    <row r="26" spans="1:8" ht="12.45" customHeight="1">
      <c r="A26" s="39" t="s">
        <v>413</v>
      </c>
      <c r="B26" s="9">
        <v>8000</v>
      </c>
      <c r="C26" s="13" t="s">
        <v>220</v>
      </c>
      <c r="D26" s="13" t="s">
        <v>220</v>
      </c>
      <c r="E26" s="9">
        <v>1000</v>
      </c>
      <c r="F26" s="9">
        <v>6000</v>
      </c>
      <c r="G26" s="13" t="s">
        <v>220</v>
      </c>
      <c r="H26" s="9">
        <v>1000</v>
      </c>
    </row>
    <row r="27" spans="1:8" ht="12.45" customHeight="1">
      <c r="A27" s="15" t="s">
        <v>414</v>
      </c>
      <c r="B27" s="9">
        <v>5000</v>
      </c>
      <c r="C27" s="13" t="s">
        <v>220</v>
      </c>
      <c r="D27" s="13" t="s">
        <v>220</v>
      </c>
      <c r="E27" s="13" t="s">
        <v>220</v>
      </c>
      <c r="F27" s="9">
        <v>2000</v>
      </c>
      <c r="G27" s="13" t="s">
        <v>220</v>
      </c>
      <c r="H27" s="13" t="s">
        <v>191</v>
      </c>
    </row>
    <row r="28" spans="1:8" ht="24.75" customHeight="1">
      <c r="A28" s="12" t="s">
        <v>230</v>
      </c>
      <c r="B28" s="11">
        <v>433000</v>
      </c>
      <c r="C28" s="16" t="s">
        <v>191</v>
      </c>
      <c r="D28" s="11">
        <v>7000</v>
      </c>
      <c r="E28" s="11">
        <v>73000</v>
      </c>
      <c r="F28" s="11">
        <v>104000</v>
      </c>
      <c r="G28" s="11">
        <v>74000</v>
      </c>
      <c r="H28" s="11">
        <v>167000</v>
      </c>
    </row>
    <row r="29" spans="1:8" ht="12.45" customHeight="1">
      <c r="A29" s="15" t="s">
        <v>411</v>
      </c>
      <c r="B29" s="9">
        <v>188000</v>
      </c>
      <c r="C29" s="13" t="s">
        <v>191</v>
      </c>
      <c r="D29" s="13" t="s">
        <v>191</v>
      </c>
      <c r="E29" s="9">
        <v>16000</v>
      </c>
      <c r="F29" s="9">
        <v>50000</v>
      </c>
      <c r="G29" s="9">
        <v>25000</v>
      </c>
      <c r="H29" s="9">
        <v>89000</v>
      </c>
    </row>
    <row r="30" spans="1:8" ht="12.45" customHeight="1">
      <c r="A30" s="15" t="s">
        <v>412</v>
      </c>
      <c r="B30" s="9">
        <v>205000</v>
      </c>
      <c r="C30" s="13" t="s">
        <v>191</v>
      </c>
      <c r="D30" s="13" t="s">
        <v>191</v>
      </c>
      <c r="E30" s="9">
        <v>47000</v>
      </c>
      <c r="F30" s="9">
        <v>45000</v>
      </c>
      <c r="G30" s="9">
        <v>37000</v>
      </c>
      <c r="H30" s="9">
        <v>70000</v>
      </c>
    </row>
    <row r="31" spans="1:8" ht="12.45" customHeight="1">
      <c r="A31" s="39" t="s">
        <v>413</v>
      </c>
      <c r="B31" s="9">
        <v>28000</v>
      </c>
      <c r="C31" s="13" t="s">
        <v>220</v>
      </c>
      <c r="D31" s="13" t="s">
        <v>220</v>
      </c>
      <c r="E31" s="9">
        <v>4000</v>
      </c>
      <c r="F31" s="9">
        <v>9000</v>
      </c>
      <c r="G31" s="9">
        <v>8000</v>
      </c>
      <c r="H31" s="9">
        <v>7000</v>
      </c>
    </row>
    <row r="32" spans="1:8" ht="12.45" customHeight="1">
      <c r="A32" s="15" t="s">
        <v>414</v>
      </c>
      <c r="B32" s="9">
        <v>12000</v>
      </c>
      <c r="C32" s="13" t="s">
        <v>220</v>
      </c>
      <c r="D32" s="13" t="s">
        <v>220</v>
      </c>
      <c r="E32" s="13" t="s">
        <v>191</v>
      </c>
      <c r="F32" s="13" t="s">
        <v>191</v>
      </c>
      <c r="G32" s="13" t="s">
        <v>191</v>
      </c>
      <c r="H32" s="9">
        <v>1000</v>
      </c>
    </row>
    <row r="33" spans="1:8" ht="12.45" customHeight="1">
      <c r="A33" s="12" t="s">
        <v>231</v>
      </c>
      <c r="B33" s="9">
        <v>312000</v>
      </c>
      <c r="C33" s="9">
        <v>17000</v>
      </c>
      <c r="D33" s="9">
        <v>73000</v>
      </c>
      <c r="E33" s="9">
        <v>103000</v>
      </c>
      <c r="F33" s="9">
        <v>75000</v>
      </c>
      <c r="G33" s="9">
        <v>8000</v>
      </c>
      <c r="H33" s="9">
        <v>36000</v>
      </c>
    </row>
    <row r="34" spans="1:8" ht="12.45" customHeight="1">
      <c r="A34" s="15" t="s">
        <v>411</v>
      </c>
      <c r="B34" s="9">
        <v>156000</v>
      </c>
      <c r="C34" s="9">
        <v>10000</v>
      </c>
      <c r="D34" s="9">
        <v>30000</v>
      </c>
      <c r="E34" s="9">
        <v>53000</v>
      </c>
      <c r="F34" s="9">
        <v>43000</v>
      </c>
      <c r="G34" s="9">
        <v>3000</v>
      </c>
      <c r="H34" s="9">
        <v>17000</v>
      </c>
    </row>
    <row r="35" spans="1:8" ht="12.45" customHeight="1">
      <c r="A35" s="15" t="s">
        <v>412</v>
      </c>
      <c r="B35" s="9">
        <v>131000</v>
      </c>
      <c r="C35" s="9">
        <v>8000</v>
      </c>
      <c r="D35" s="9">
        <v>37000</v>
      </c>
      <c r="E35" s="9">
        <v>43000</v>
      </c>
      <c r="F35" s="9">
        <v>27000</v>
      </c>
      <c r="G35" s="9">
        <v>4000</v>
      </c>
      <c r="H35" s="9">
        <v>13000</v>
      </c>
    </row>
    <row r="36" spans="1:8" ht="12.45" customHeight="1">
      <c r="A36" s="39" t="s">
        <v>413</v>
      </c>
      <c r="B36" s="9">
        <v>17000</v>
      </c>
      <c r="C36" s="13" t="s">
        <v>220</v>
      </c>
      <c r="D36" s="9">
        <v>5000</v>
      </c>
      <c r="E36" s="9">
        <v>5000</v>
      </c>
      <c r="F36" s="9">
        <v>3000</v>
      </c>
      <c r="G36" s="13" t="s">
        <v>220</v>
      </c>
      <c r="H36" s="13" t="s">
        <v>191</v>
      </c>
    </row>
    <row r="37" spans="1:8" ht="12.45" customHeight="1">
      <c r="A37" s="15" t="s">
        <v>414</v>
      </c>
      <c r="B37" s="9">
        <v>8000</v>
      </c>
      <c r="C37" s="13" t="s">
        <v>220</v>
      </c>
      <c r="D37" s="13" t="s">
        <v>191</v>
      </c>
      <c r="E37" s="9">
        <v>1000</v>
      </c>
      <c r="F37" s="9">
        <v>3000</v>
      </c>
      <c r="G37" s="13" t="s">
        <v>220</v>
      </c>
      <c r="H37" s="13" t="s">
        <v>191</v>
      </c>
    </row>
    <row r="38" spans="1:8" ht="12.45" customHeight="1">
      <c r="A38" s="10" t="s">
        <v>175</v>
      </c>
      <c r="B38" s="9">
        <v>5494000</v>
      </c>
      <c r="C38" s="9">
        <v>84000</v>
      </c>
      <c r="D38" s="9">
        <v>57000</v>
      </c>
      <c r="E38" s="9">
        <v>750000</v>
      </c>
      <c r="F38" s="9">
        <v>257000</v>
      </c>
      <c r="G38" s="9">
        <v>707000</v>
      </c>
      <c r="H38" s="9">
        <v>3638000</v>
      </c>
    </row>
    <row r="39" spans="1:8" ht="12.45" customHeight="1">
      <c r="A39" s="12" t="s">
        <v>411</v>
      </c>
      <c r="B39" s="9">
        <v>2403000</v>
      </c>
      <c r="C39" s="9">
        <v>43000</v>
      </c>
      <c r="D39" s="9">
        <v>27000</v>
      </c>
      <c r="E39" s="9">
        <v>369000</v>
      </c>
      <c r="F39" s="9">
        <v>111000</v>
      </c>
      <c r="G39" s="9">
        <v>290000</v>
      </c>
      <c r="H39" s="9">
        <v>1563000</v>
      </c>
    </row>
    <row r="40" spans="1:8" ht="12.45" customHeight="1">
      <c r="A40" s="12" t="s">
        <v>412</v>
      </c>
      <c r="B40" s="9">
        <v>2538000</v>
      </c>
      <c r="C40" s="9">
        <v>39000</v>
      </c>
      <c r="D40" s="9">
        <v>23000</v>
      </c>
      <c r="E40" s="9">
        <v>314000</v>
      </c>
      <c r="F40" s="9">
        <v>133000</v>
      </c>
      <c r="G40" s="9">
        <v>339000</v>
      </c>
      <c r="H40" s="9">
        <v>1690000</v>
      </c>
    </row>
    <row r="41" spans="1:8" ht="12.45" customHeight="1">
      <c r="A41" s="12" t="s">
        <v>413</v>
      </c>
      <c r="B41" s="9">
        <v>418000</v>
      </c>
      <c r="C41" s="13" t="s">
        <v>191</v>
      </c>
      <c r="D41" s="9">
        <v>5000</v>
      </c>
      <c r="E41" s="9">
        <v>46000</v>
      </c>
      <c r="F41" s="9">
        <v>11000</v>
      </c>
      <c r="G41" s="9">
        <v>62000</v>
      </c>
      <c r="H41" s="9">
        <v>293000</v>
      </c>
    </row>
    <row r="42" spans="1:8" ht="12.45" customHeight="1">
      <c r="A42" s="12" t="s">
        <v>414</v>
      </c>
      <c r="B42" s="9">
        <v>135000</v>
      </c>
      <c r="C42" s="13" t="s">
        <v>220</v>
      </c>
      <c r="D42" s="13" t="s">
        <v>191</v>
      </c>
      <c r="E42" s="9">
        <v>21000</v>
      </c>
      <c r="F42" s="13" t="s">
        <v>191</v>
      </c>
      <c r="G42" s="9">
        <v>16000</v>
      </c>
      <c r="H42" s="9">
        <v>92000</v>
      </c>
    </row>
    <row r="43" spans="1:8" ht="12.45" customHeight="1">
      <c r="A43" s="10" t="s">
        <v>176</v>
      </c>
      <c r="B43" s="9">
        <v>18699000</v>
      </c>
      <c r="C43" s="9">
        <v>109000</v>
      </c>
      <c r="D43" s="9">
        <v>203000</v>
      </c>
      <c r="E43" s="9">
        <v>9804000</v>
      </c>
      <c r="F43" s="9">
        <v>750000</v>
      </c>
      <c r="G43" s="9">
        <v>3754000</v>
      </c>
      <c r="H43" s="9">
        <v>4079000</v>
      </c>
    </row>
    <row r="44" spans="1:8" ht="12.45" customHeight="1">
      <c r="A44" s="12" t="s">
        <v>411</v>
      </c>
      <c r="B44" s="9">
        <v>7837000</v>
      </c>
      <c r="C44" s="9">
        <v>43000</v>
      </c>
      <c r="D44" s="9">
        <v>72000</v>
      </c>
      <c r="E44" s="9">
        <v>4147000</v>
      </c>
      <c r="F44" s="9">
        <v>313000</v>
      </c>
      <c r="G44" s="9">
        <v>1541000</v>
      </c>
      <c r="H44" s="9">
        <v>1723000</v>
      </c>
    </row>
    <row r="45" spans="1:8" ht="12.45" customHeight="1">
      <c r="A45" s="12" t="s">
        <v>412</v>
      </c>
      <c r="B45" s="9">
        <v>8610000</v>
      </c>
      <c r="C45" s="9">
        <v>55000</v>
      </c>
      <c r="D45" s="9">
        <v>105000</v>
      </c>
      <c r="E45" s="9">
        <v>4426000</v>
      </c>
      <c r="F45" s="9">
        <v>344000</v>
      </c>
      <c r="G45" s="9">
        <v>1861000</v>
      </c>
      <c r="H45" s="9">
        <v>1820000</v>
      </c>
    </row>
    <row r="46" spans="1:8" ht="12.45" customHeight="1">
      <c r="A46" s="12" t="s">
        <v>413</v>
      </c>
      <c r="B46" s="9">
        <v>1711000</v>
      </c>
      <c r="C46" s="9">
        <v>9000</v>
      </c>
      <c r="D46" s="9">
        <v>24000</v>
      </c>
      <c r="E46" s="9">
        <v>952000</v>
      </c>
      <c r="F46" s="9">
        <v>71000</v>
      </c>
      <c r="G46" s="9">
        <v>273000</v>
      </c>
      <c r="H46" s="9">
        <v>383000</v>
      </c>
    </row>
    <row r="47" spans="1:8" ht="12.45" customHeight="1">
      <c r="A47" s="12" t="s">
        <v>414</v>
      </c>
      <c r="B47" s="9">
        <v>541000</v>
      </c>
      <c r="C47" s="13" t="s">
        <v>220</v>
      </c>
      <c r="D47" s="9">
        <v>2000</v>
      </c>
      <c r="E47" s="9">
        <v>280000</v>
      </c>
      <c r="F47" s="9">
        <v>23000</v>
      </c>
      <c r="G47" s="9">
        <v>80000</v>
      </c>
      <c r="H47" s="9">
        <v>153000</v>
      </c>
    </row>
    <row r="48" spans="1:8" ht="12.45" customHeight="1">
      <c r="A48" s="8" t="s">
        <v>283</v>
      </c>
      <c r="B48" s="9">
        <v>25271000</v>
      </c>
      <c r="C48" s="9">
        <v>2273000</v>
      </c>
      <c r="D48" s="9">
        <v>1052000</v>
      </c>
      <c r="E48" s="9">
        <v>11147000</v>
      </c>
      <c r="F48" s="9">
        <v>2270000</v>
      </c>
      <c r="G48" s="9">
        <v>1982000</v>
      </c>
      <c r="H48" s="9">
        <v>6546000</v>
      </c>
    </row>
    <row r="49" spans="1:8" ht="12.45" customHeight="1">
      <c r="A49" s="10" t="s">
        <v>411</v>
      </c>
      <c r="B49" s="9">
        <v>11574000</v>
      </c>
      <c r="C49" s="9">
        <v>1028000</v>
      </c>
      <c r="D49" s="9">
        <v>455000</v>
      </c>
      <c r="E49" s="9">
        <v>5134000</v>
      </c>
      <c r="F49" s="9">
        <v>1054000</v>
      </c>
      <c r="G49" s="9">
        <v>928000</v>
      </c>
      <c r="H49" s="9">
        <v>2974000</v>
      </c>
    </row>
    <row r="50" spans="1:8" ht="12.45" customHeight="1">
      <c r="A50" s="10" t="s">
        <v>412</v>
      </c>
      <c r="B50" s="9">
        <v>11104000</v>
      </c>
      <c r="C50" s="9">
        <v>1074000</v>
      </c>
      <c r="D50" s="9">
        <v>493000</v>
      </c>
      <c r="E50" s="9">
        <v>4826000</v>
      </c>
      <c r="F50" s="9">
        <v>1005000</v>
      </c>
      <c r="G50" s="9">
        <v>888000</v>
      </c>
      <c r="H50" s="9">
        <v>2818000</v>
      </c>
    </row>
  </sheetData>
  <mergeCells count="4">
    <mergeCell ref="A1:I1"/>
    <mergeCell ref="A3:A4"/>
    <mergeCell ref="B3:B4"/>
    <mergeCell ref="C3:H3"/>
  </mergeCell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0" tint="-0.249977111117893"/>
  </sheetPr>
  <dimension ref="A1:I49"/>
  <sheetViews>
    <sheetView workbookViewId="0">
      <selection sqref="A1:Z1"/>
    </sheetView>
  </sheetViews>
  <sheetFormatPr defaultRowHeight="13.2"/>
  <cols>
    <col min="1" max="1" width="28.77734375" customWidth="1"/>
    <col min="2" max="2" width="11.109375" customWidth="1"/>
    <col min="3" max="3" width="15.44140625" customWidth="1"/>
    <col min="4" max="4" width="10" customWidth="1"/>
    <col min="5" max="5" width="20.6640625" customWidth="1"/>
    <col min="6" max="6" width="17.77734375" customWidth="1"/>
    <col min="7" max="7" width="10" customWidth="1"/>
    <col min="8" max="8" width="11.109375" customWidth="1"/>
    <col min="9" max="9" width="2.44140625" customWidth="1"/>
  </cols>
  <sheetData>
    <row r="1" spans="1:9" ht="42.75" customHeight="1">
      <c r="A1" s="321" t="s">
        <v>417</v>
      </c>
      <c r="B1" s="321"/>
      <c r="C1" s="321"/>
      <c r="D1" s="321"/>
      <c r="E1" s="321"/>
      <c r="F1" s="321"/>
      <c r="G1" s="321"/>
      <c r="H1" s="321"/>
      <c r="I1" s="321"/>
    </row>
    <row r="2" spans="1:9" ht="13.95" customHeight="1">
      <c r="A2" s="371" t="s">
        <v>418</v>
      </c>
      <c r="B2" s="347" t="s">
        <v>167</v>
      </c>
      <c r="C2" s="330" t="s">
        <v>390</v>
      </c>
      <c r="D2" s="331"/>
      <c r="E2" s="331"/>
      <c r="F2" s="331"/>
      <c r="G2" s="331"/>
      <c r="H2" s="332"/>
    </row>
    <row r="3" spans="1:9" ht="27.75" customHeight="1">
      <c r="A3" s="376"/>
      <c r="B3" s="348"/>
      <c r="C3" s="5" t="s">
        <v>391</v>
      </c>
      <c r="D3" s="55" t="s">
        <v>392</v>
      </c>
      <c r="E3" s="56" t="s">
        <v>393</v>
      </c>
      <c r="F3" s="56" t="s">
        <v>394</v>
      </c>
      <c r="G3" s="57" t="s">
        <v>395</v>
      </c>
      <c r="H3" s="58" t="s">
        <v>396</v>
      </c>
    </row>
    <row r="4" spans="1:9" ht="12.45" customHeight="1">
      <c r="A4" s="14" t="s">
        <v>413</v>
      </c>
      <c r="B4" s="7">
        <v>2086000</v>
      </c>
      <c r="C4" s="7">
        <v>144000</v>
      </c>
      <c r="D4" s="7">
        <v>86000</v>
      </c>
      <c r="E4" s="7">
        <v>978000</v>
      </c>
      <c r="F4" s="7">
        <v>180000</v>
      </c>
      <c r="G4" s="7">
        <v>134000</v>
      </c>
      <c r="H4" s="7">
        <v>564000</v>
      </c>
    </row>
    <row r="5" spans="1:9" ht="12.45" customHeight="1">
      <c r="A5" s="10" t="s">
        <v>414</v>
      </c>
      <c r="B5" s="9">
        <v>507000</v>
      </c>
      <c r="C5" s="9">
        <v>27000</v>
      </c>
      <c r="D5" s="9">
        <v>18000</v>
      </c>
      <c r="E5" s="9">
        <v>209000</v>
      </c>
      <c r="F5" s="9">
        <v>30000</v>
      </c>
      <c r="G5" s="9">
        <v>32000</v>
      </c>
      <c r="H5" s="9">
        <v>190000</v>
      </c>
    </row>
    <row r="6" spans="1:9" ht="12.45" customHeight="1">
      <c r="A6" s="10" t="s">
        <v>174</v>
      </c>
      <c r="B6" s="9">
        <v>5594000</v>
      </c>
      <c r="C6" s="9">
        <v>1780000</v>
      </c>
      <c r="D6" s="9">
        <v>613000</v>
      </c>
      <c r="E6" s="9">
        <v>1113000</v>
      </c>
      <c r="F6" s="9">
        <v>1218000</v>
      </c>
      <c r="G6" s="9">
        <v>237000</v>
      </c>
      <c r="H6" s="9">
        <v>632000</v>
      </c>
    </row>
    <row r="7" spans="1:9" ht="12.45" customHeight="1">
      <c r="A7" s="12" t="s">
        <v>411</v>
      </c>
      <c r="B7" s="9">
        <v>2504000</v>
      </c>
      <c r="C7" s="9">
        <v>793000</v>
      </c>
      <c r="D7" s="9">
        <v>268000</v>
      </c>
      <c r="E7" s="9">
        <v>512000</v>
      </c>
      <c r="F7" s="9">
        <v>552000</v>
      </c>
      <c r="G7" s="9">
        <v>100000</v>
      </c>
      <c r="H7" s="9">
        <v>278000</v>
      </c>
    </row>
    <row r="8" spans="1:9" ht="12.45" customHeight="1">
      <c r="A8" s="12" t="s">
        <v>412</v>
      </c>
      <c r="B8" s="9">
        <v>2573000</v>
      </c>
      <c r="C8" s="9">
        <v>846000</v>
      </c>
      <c r="D8" s="9">
        <v>292000</v>
      </c>
      <c r="E8" s="9">
        <v>485000</v>
      </c>
      <c r="F8" s="9">
        <v>554000</v>
      </c>
      <c r="G8" s="9">
        <v>106000</v>
      </c>
      <c r="H8" s="9">
        <v>290000</v>
      </c>
    </row>
    <row r="9" spans="1:9" ht="12.45" customHeight="1">
      <c r="A9" s="12" t="s">
        <v>413</v>
      </c>
      <c r="B9" s="9">
        <v>437000</v>
      </c>
      <c r="C9" s="9">
        <v>117000</v>
      </c>
      <c r="D9" s="9">
        <v>42000</v>
      </c>
      <c r="E9" s="9">
        <v>99000</v>
      </c>
      <c r="F9" s="9">
        <v>100000</v>
      </c>
      <c r="G9" s="9">
        <v>27000</v>
      </c>
      <c r="H9" s="9">
        <v>52000</v>
      </c>
    </row>
    <row r="10" spans="1:9" ht="12.45" customHeight="1">
      <c r="A10" s="12" t="s">
        <v>414</v>
      </c>
      <c r="B10" s="9">
        <v>79000</v>
      </c>
      <c r="C10" s="9">
        <v>24000</v>
      </c>
      <c r="D10" s="9">
        <v>10000</v>
      </c>
      <c r="E10" s="9">
        <v>17000</v>
      </c>
      <c r="F10" s="9">
        <v>11000</v>
      </c>
      <c r="G10" s="9">
        <v>4000</v>
      </c>
      <c r="H10" s="9">
        <v>12000</v>
      </c>
    </row>
    <row r="11" spans="1:9" ht="24.75" customHeight="1">
      <c r="A11" s="12" t="s">
        <v>227</v>
      </c>
      <c r="B11" s="11">
        <v>427000</v>
      </c>
      <c r="C11" s="11">
        <v>7000</v>
      </c>
      <c r="D11" s="11">
        <v>4000</v>
      </c>
      <c r="E11" s="11">
        <v>60000</v>
      </c>
      <c r="F11" s="11">
        <v>280000</v>
      </c>
      <c r="G11" s="11">
        <v>31000</v>
      </c>
      <c r="H11" s="11">
        <v>45000</v>
      </c>
    </row>
    <row r="12" spans="1:9" ht="12.45" customHeight="1">
      <c r="A12" s="15" t="s">
        <v>411</v>
      </c>
      <c r="B12" s="9">
        <v>186000</v>
      </c>
      <c r="C12" s="9">
        <v>3000</v>
      </c>
      <c r="D12" s="9">
        <v>2000</v>
      </c>
      <c r="E12" s="9">
        <v>28000</v>
      </c>
      <c r="F12" s="9">
        <v>128000</v>
      </c>
      <c r="G12" s="9">
        <v>15000</v>
      </c>
      <c r="H12" s="9">
        <v>11000</v>
      </c>
    </row>
    <row r="13" spans="1:9" ht="12.45" customHeight="1">
      <c r="A13" s="15" t="s">
        <v>412</v>
      </c>
      <c r="B13" s="9">
        <v>204000</v>
      </c>
      <c r="C13" s="9">
        <v>2000</v>
      </c>
      <c r="D13" s="9">
        <v>2000</v>
      </c>
      <c r="E13" s="9">
        <v>28000</v>
      </c>
      <c r="F13" s="9">
        <v>132000</v>
      </c>
      <c r="G13" s="9">
        <v>13000</v>
      </c>
      <c r="H13" s="9">
        <v>27000</v>
      </c>
    </row>
    <row r="14" spans="1:9" ht="12.45" customHeight="1">
      <c r="A14" s="39" t="s">
        <v>413</v>
      </c>
      <c r="B14" s="9">
        <v>31000</v>
      </c>
      <c r="C14" s="13" t="s">
        <v>220</v>
      </c>
      <c r="D14" s="13" t="s">
        <v>220</v>
      </c>
      <c r="E14" s="9">
        <v>3000</v>
      </c>
      <c r="F14" s="9">
        <v>19000</v>
      </c>
      <c r="G14" s="9">
        <v>2000</v>
      </c>
      <c r="H14" s="9">
        <v>7000</v>
      </c>
    </row>
    <row r="15" spans="1:9" ht="12.45" customHeight="1">
      <c r="A15" s="15" t="s">
        <v>414</v>
      </c>
      <c r="B15" s="9">
        <v>5000</v>
      </c>
      <c r="C15" s="13" t="s">
        <v>220</v>
      </c>
      <c r="D15" s="13" t="s">
        <v>220</v>
      </c>
      <c r="E15" s="13" t="s">
        <v>191</v>
      </c>
      <c r="F15" s="9">
        <v>2000</v>
      </c>
      <c r="G15" s="13" t="s">
        <v>191</v>
      </c>
      <c r="H15" s="13" t="s">
        <v>220</v>
      </c>
    </row>
    <row r="16" spans="1:9" ht="24.75" customHeight="1">
      <c r="A16" s="12" t="s">
        <v>228</v>
      </c>
      <c r="B16" s="11">
        <v>2979000</v>
      </c>
      <c r="C16" s="11">
        <v>1663000</v>
      </c>
      <c r="D16" s="11">
        <v>172000</v>
      </c>
      <c r="E16" s="11">
        <v>467000</v>
      </c>
      <c r="F16" s="11">
        <v>344000</v>
      </c>
      <c r="G16" s="11">
        <v>75000</v>
      </c>
      <c r="H16" s="11">
        <v>258000</v>
      </c>
    </row>
    <row r="17" spans="1:8" ht="12.45" customHeight="1">
      <c r="A17" s="15" t="s">
        <v>411</v>
      </c>
      <c r="B17" s="9">
        <v>1301000</v>
      </c>
      <c r="C17" s="9">
        <v>741000</v>
      </c>
      <c r="D17" s="9">
        <v>64000</v>
      </c>
      <c r="E17" s="9">
        <v>215000</v>
      </c>
      <c r="F17" s="9">
        <v>152000</v>
      </c>
      <c r="G17" s="9">
        <v>28000</v>
      </c>
      <c r="H17" s="9">
        <v>103000</v>
      </c>
    </row>
    <row r="18" spans="1:8" ht="12.45" customHeight="1">
      <c r="A18" s="15" t="s">
        <v>412</v>
      </c>
      <c r="B18" s="9">
        <v>1394000</v>
      </c>
      <c r="C18" s="9">
        <v>792000</v>
      </c>
      <c r="D18" s="9">
        <v>94000</v>
      </c>
      <c r="E18" s="9">
        <v>191000</v>
      </c>
      <c r="F18" s="9">
        <v>155000</v>
      </c>
      <c r="G18" s="9">
        <v>33000</v>
      </c>
      <c r="H18" s="9">
        <v>129000</v>
      </c>
    </row>
    <row r="19" spans="1:8" ht="12.45" customHeight="1">
      <c r="A19" s="39" t="s">
        <v>413</v>
      </c>
      <c r="B19" s="9">
        <v>238000</v>
      </c>
      <c r="C19" s="9">
        <v>108000</v>
      </c>
      <c r="D19" s="9">
        <v>10000</v>
      </c>
      <c r="E19" s="9">
        <v>52000</v>
      </c>
      <c r="F19" s="9">
        <v>35000</v>
      </c>
      <c r="G19" s="9">
        <v>11000</v>
      </c>
      <c r="H19" s="9">
        <v>22000</v>
      </c>
    </row>
    <row r="20" spans="1:8" ht="12.45" customHeight="1">
      <c r="A20" s="15" t="s">
        <v>414</v>
      </c>
      <c r="B20" s="9">
        <v>46000</v>
      </c>
      <c r="C20" s="9">
        <v>23000</v>
      </c>
      <c r="D20" s="13" t="s">
        <v>191</v>
      </c>
      <c r="E20" s="9">
        <v>9000</v>
      </c>
      <c r="F20" s="9">
        <v>3000</v>
      </c>
      <c r="G20" s="13" t="s">
        <v>191</v>
      </c>
      <c r="H20" s="9">
        <v>5000</v>
      </c>
    </row>
    <row r="21" spans="1:8" ht="24.75" customHeight="1">
      <c r="A21" s="12" t="s">
        <v>229</v>
      </c>
      <c r="B21" s="11">
        <v>273000</v>
      </c>
      <c r="C21" s="11">
        <v>8000</v>
      </c>
      <c r="D21" s="11">
        <v>5000</v>
      </c>
      <c r="E21" s="11">
        <v>44000</v>
      </c>
      <c r="F21" s="11">
        <v>135000</v>
      </c>
      <c r="G21" s="11">
        <v>36000</v>
      </c>
      <c r="H21" s="11">
        <v>45000</v>
      </c>
    </row>
    <row r="22" spans="1:8" ht="12.45" customHeight="1">
      <c r="A22" s="15" t="s">
        <v>411</v>
      </c>
      <c r="B22" s="9">
        <v>115000</v>
      </c>
      <c r="C22" s="9">
        <v>3000</v>
      </c>
      <c r="D22" s="13" t="s">
        <v>191</v>
      </c>
      <c r="E22" s="9">
        <v>18000</v>
      </c>
      <c r="F22" s="9">
        <v>61000</v>
      </c>
      <c r="G22" s="9">
        <v>14000</v>
      </c>
      <c r="H22" s="9">
        <v>17000</v>
      </c>
    </row>
    <row r="23" spans="1:8" ht="12.45" customHeight="1">
      <c r="A23" s="15" t="s">
        <v>412</v>
      </c>
      <c r="B23" s="9">
        <v>130000</v>
      </c>
      <c r="C23" s="9">
        <v>5000</v>
      </c>
      <c r="D23" s="9">
        <v>2000</v>
      </c>
      <c r="E23" s="9">
        <v>21000</v>
      </c>
      <c r="F23" s="9">
        <v>62000</v>
      </c>
      <c r="G23" s="9">
        <v>17000</v>
      </c>
      <c r="H23" s="9">
        <v>22000</v>
      </c>
    </row>
    <row r="24" spans="1:8" ht="12.45" customHeight="1">
      <c r="A24" s="39" t="s">
        <v>413</v>
      </c>
      <c r="B24" s="9">
        <v>25000</v>
      </c>
      <c r="C24" s="13" t="s">
        <v>220</v>
      </c>
      <c r="D24" s="13" t="s">
        <v>220</v>
      </c>
      <c r="E24" s="9">
        <v>4000</v>
      </c>
      <c r="F24" s="9">
        <v>11000</v>
      </c>
      <c r="G24" s="9">
        <v>5000</v>
      </c>
      <c r="H24" s="9">
        <v>5000</v>
      </c>
    </row>
    <row r="25" spans="1:8" ht="12.45" customHeight="1">
      <c r="A25" s="15" t="s">
        <v>414</v>
      </c>
      <c r="B25" s="9">
        <v>3000</v>
      </c>
      <c r="C25" s="13" t="s">
        <v>220</v>
      </c>
      <c r="D25" s="13" t="s">
        <v>220</v>
      </c>
      <c r="E25" s="13" t="s">
        <v>191</v>
      </c>
      <c r="F25" s="9">
        <v>1000</v>
      </c>
      <c r="G25" s="13" t="s">
        <v>220</v>
      </c>
      <c r="H25" s="9">
        <v>1000</v>
      </c>
    </row>
    <row r="26" spans="1:8" ht="24.75" customHeight="1">
      <c r="A26" s="12" t="s">
        <v>230</v>
      </c>
      <c r="B26" s="11">
        <v>279000</v>
      </c>
      <c r="C26" s="11">
        <v>5000</v>
      </c>
      <c r="D26" s="11">
        <v>2000</v>
      </c>
      <c r="E26" s="11">
        <v>38000</v>
      </c>
      <c r="F26" s="11">
        <v>93000</v>
      </c>
      <c r="G26" s="11">
        <v>64000</v>
      </c>
      <c r="H26" s="11">
        <v>78000</v>
      </c>
    </row>
    <row r="27" spans="1:8" ht="12.45" customHeight="1">
      <c r="A27" s="15" t="s">
        <v>411</v>
      </c>
      <c r="B27" s="9">
        <v>147000</v>
      </c>
      <c r="C27" s="13" t="s">
        <v>191</v>
      </c>
      <c r="D27" s="13" t="s">
        <v>191</v>
      </c>
      <c r="E27" s="9">
        <v>19000</v>
      </c>
      <c r="F27" s="9">
        <v>52000</v>
      </c>
      <c r="G27" s="9">
        <v>28000</v>
      </c>
      <c r="H27" s="9">
        <v>45000</v>
      </c>
    </row>
    <row r="28" spans="1:8" ht="12.45" customHeight="1">
      <c r="A28" s="15" t="s">
        <v>412</v>
      </c>
      <c r="B28" s="9">
        <v>108000</v>
      </c>
      <c r="C28" s="13" t="s">
        <v>191</v>
      </c>
      <c r="D28" s="13" t="s">
        <v>222</v>
      </c>
      <c r="E28" s="9">
        <v>16000</v>
      </c>
      <c r="F28" s="9">
        <v>28000</v>
      </c>
      <c r="G28" s="9">
        <v>29000</v>
      </c>
      <c r="H28" s="9">
        <v>32000</v>
      </c>
    </row>
    <row r="29" spans="1:8" ht="12.45" customHeight="1">
      <c r="A29" s="39" t="s">
        <v>413</v>
      </c>
      <c r="B29" s="9">
        <v>22000</v>
      </c>
      <c r="C29" s="13" t="s">
        <v>220</v>
      </c>
      <c r="D29" s="13" t="s">
        <v>220</v>
      </c>
      <c r="E29" s="13" t="s">
        <v>191</v>
      </c>
      <c r="F29" s="9">
        <v>12000</v>
      </c>
      <c r="G29" s="13" t="s">
        <v>191</v>
      </c>
      <c r="H29" s="9">
        <v>2000</v>
      </c>
    </row>
    <row r="30" spans="1:8" ht="12.45" customHeight="1">
      <c r="A30" s="15" t="s">
        <v>414</v>
      </c>
      <c r="B30" s="9">
        <v>2000</v>
      </c>
      <c r="C30" s="13" t="s">
        <v>220</v>
      </c>
      <c r="D30" s="13" t="s">
        <v>220</v>
      </c>
      <c r="E30" s="13" t="s">
        <v>220</v>
      </c>
      <c r="F30" s="13" t="s">
        <v>191</v>
      </c>
      <c r="G30" s="13" t="s">
        <v>220</v>
      </c>
      <c r="H30" s="13" t="s">
        <v>220</v>
      </c>
    </row>
    <row r="31" spans="1:8" ht="12.45" customHeight="1">
      <c r="A31" s="12" t="s">
        <v>231</v>
      </c>
      <c r="B31" s="9">
        <v>1636000</v>
      </c>
      <c r="C31" s="9">
        <v>97000</v>
      </c>
      <c r="D31" s="9">
        <v>430000</v>
      </c>
      <c r="E31" s="9">
        <v>505000</v>
      </c>
      <c r="F31" s="9">
        <v>367000</v>
      </c>
      <c r="G31" s="9">
        <v>31000</v>
      </c>
      <c r="H31" s="9">
        <v>206000</v>
      </c>
    </row>
    <row r="32" spans="1:8" ht="12.45" customHeight="1">
      <c r="A32" s="15" t="s">
        <v>411</v>
      </c>
      <c r="B32" s="9">
        <v>755000</v>
      </c>
      <c r="C32" s="9">
        <v>45000</v>
      </c>
      <c r="D32" s="9">
        <v>200000</v>
      </c>
      <c r="E32" s="9">
        <v>231000</v>
      </c>
      <c r="F32" s="9">
        <v>160000</v>
      </c>
      <c r="G32" s="9">
        <v>15000</v>
      </c>
      <c r="H32" s="9">
        <v>104000</v>
      </c>
    </row>
    <row r="33" spans="1:9" ht="12.45" customHeight="1">
      <c r="A33" s="15" t="s">
        <v>412</v>
      </c>
      <c r="B33" s="9">
        <v>738000</v>
      </c>
      <c r="C33" s="9">
        <v>43000</v>
      </c>
      <c r="D33" s="9">
        <v>192000</v>
      </c>
      <c r="E33" s="9">
        <v>230000</v>
      </c>
      <c r="F33" s="9">
        <v>178000</v>
      </c>
      <c r="G33" s="9">
        <v>14000</v>
      </c>
      <c r="H33" s="9">
        <v>81000</v>
      </c>
    </row>
    <row r="34" spans="1:9" ht="12.45" customHeight="1">
      <c r="A34" s="39" t="s">
        <v>413</v>
      </c>
      <c r="B34" s="9">
        <v>120000</v>
      </c>
      <c r="C34" s="9">
        <v>8000</v>
      </c>
      <c r="D34" s="9">
        <v>32000</v>
      </c>
      <c r="E34" s="9">
        <v>38000</v>
      </c>
      <c r="F34" s="9">
        <v>25000</v>
      </c>
      <c r="G34" s="9">
        <v>2000</v>
      </c>
      <c r="H34" s="9">
        <v>16000</v>
      </c>
    </row>
    <row r="35" spans="1:9" ht="12.45" customHeight="1">
      <c r="A35" s="15" t="s">
        <v>414</v>
      </c>
      <c r="B35" s="9">
        <v>23000</v>
      </c>
      <c r="C35" s="9">
        <v>1000</v>
      </c>
      <c r="D35" s="9">
        <v>6000</v>
      </c>
      <c r="E35" s="9">
        <v>6000</v>
      </c>
      <c r="F35" s="9">
        <v>5000</v>
      </c>
      <c r="G35" s="13" t="s">
        <v>220</v>
      </c>
      <c r="H35" s="9">
        <v>5000</v>
      </c>
    </row>
    <row r="36" spans="1:9" ht="12.45" customHeight="1">
      <c r="A36" s="10" t="s">
        <v>175</v>
      </c>
      <c r="B36" s="9">
        <v>4028000</v>
      </c>
      <c r="C36" s="9">
        <v>246000</v>
      </c>
      <c r="D36" s="9">
        <v>191000</v>
      </c>
      <c r="E36" s="9">
        <v>915000</v>
      </c>
      <c r="F36" s="9">
        <v>310000</v>
      </c>
      <c r="G36" s="9">
        <v>431000</v>
      </c>
      <c r="H36" s="9">
        <v>1935000</v>
      </c>
    </row>
    <row r="37" spans="1:9" ht="12.45" customHeight="1">
      <c r="A37" s="12" t="s">
        <v>411</v>
      </c>
      <c r="B37" s="9">
        <v>1869000</v>
      </c>
      <c r="C37" s="9">
        <v>118000</v>
      </c>
      <c r="D37" s="9">
        <v>88000</v>
      </c>
      <c r="E37" s="9">
        <v>388000</v>
      </c>
      <c r="F37" s="9">
        <v>143000</v>
      </c>
      <c r="G37" s="9">
        <v>212000</v>
      </c>
      <c r="H37" s="9">
        <v>919000</v>
      </c>
    </row>
    <row r="38" spans="1:9" ht="12.45" customHeight="1">
      <c r="A38" s="12" t="s">
        <v>412</v>
      </c>
      <c r="B38" s="9">
        <v>1808000</v>
      </c>
      <c r="C38" s="9">
        <v>114000</v>
      </c>
      <c r="D38" s="9">
        <v>84000</v>
      </c>
      <c r="E38" s="9">
        <v>441000</v>
      </c>
      <c r="F38" s="9">
        <v>144000</v>
      </c>
      <c r="G38" s="9">
        <v>182000</v>
      </c>
      <c r="H38" s="9">
        <v>843000</v>
      </c>
    </row>
    <row r="39" spans="1:9" ht="12.45" customHeight="1">
      <c r="A39" s="12" t="s">
        <v>413</v>
      </c>
      <c r="B39" s="9">
        <v>288000</v>
      </c>
      <c r="C39" s="9">
        <v>11000</v>
      </c>
      <c r="D39" s="9">
        <v>18000</v>
      </c>
      <c r="E39" s="9">
        <v>76000</v>
      </c>
      <c r="F39" s="9">
        <v>21000</v>
      </c>
      <c r="G39" s="9">
        <v>32000</v>
      </c>
      <c r="H39" s="9">
        <v>130000</v>
      </c>
    </row>
    <row r="40" spans="1:9" ht="12.45" customHeight="1">
      <c r="A40" s="12" t="s">
        <v>414</v>
      </c>
      <c r="B40" s="9">
        <v>63000</v>
      </c>
      <c r="C40" s="9">
        <v>2000</v>
      </c>
      <c r="D40" s="13" t="s">
        <v>191</v>
      </c>
      <c r="E40" s="9">
        <v>10000</v>
      </c>
      <c r="F40" s="9">
        <v>3000</v>
      </c>
      <c r="G40" s="9">
        <v>5000</v>
      </c>
      <c r="H40" s="9">
        <v>42000</v>
      </c>
    </row>
    <row r="41" spans="1:9" ht="12.45" customHeight="1">
      <c r="A41" s="10" t="s">
        <v>176</v>
      </c>
      <c r="B41" s="9">
        <v>15649000</v>
      </c>
      <c r="C41" s="9">
        <v>247000</v>
      </c>
      <c r="D41" s="9">
        <v>248000</v>
      </c>
      <c r="E41" s="9">
        <v>9119000</v>
      </c>
      <c r="F41" s="9">
        <v>741000</v>
      </c>
      <c r="G41" s="9">
        <v>1314000</v>
      </c>
      <c r="H41" s="9">
        <v>3979000</v>
      </c>
    </row>
    <row r="42" spans="1:9" ht="12.45" customHeight="1">
      <c r="A42" s="12" t="s">
        <v>411</v>
      </c>
      <c r="B42" s="9">
        <v>7201000</v>
      </c>
      <c r="C42" s="9">
        <v>117000</v>
      </c>
      <c r="D42" s="9">
        <v>99000</v>
      </c>
      <c r="E42" s="9">
        <v>4234000</v>
      </c>
      <c r="F42" s="9">
        <v>359000</v>
      </c>
      <c r="G42" s="9">
        <v>617000</v>
      </c>
      <c r="H42" s="9">
        <v>1776000</v>
      </c>
    </row>
    <row r="43" spans="1:9" ht="12.45" customHeight="1">
      <c r="A43" s="12" t="s">
        <v>412</v>
      </c>
      <c r="B43" s="9">
        <v>6723000</v>
      </c>
      <c r="C43" s="9">
        <v>114000</v>
      </c>
      <c r="D43" s="9">
        <v>118000</v>
      </c>
      <c r="E43" s="9">
        <v>3900000</v>
      </c>
      <c r="F43" s="9">
        <v>306000</v>
      </c>
      <c r="G43" s="9">
        <v>600000</v>
      </c>
      <c r="H43" s="9">
        <v>1686000</v>
      </c>
    </row>
    <row r="44" spans="1:9" ht="12.45" customHeight="1">
      <c r="A44" s="12" t="s">
        <v>413</v>
      </c>
      <c r="B44" s="9">
        <v>1360000</v>
      </c>
      <c r="C44" s="9">
        <v>15000</v>
      </c>
      <c r="D44" s="9">
        <v>25000</v>
      </c>
      <c r="E44" s="9">
        <v>803000</v>
      </c>
      <c r="F44" s="9">
        <v>60000</v>
      </c>
      <c r="G44" s="9">
        <v>75000</v>
      </c>
      <c r="H44" s="9">
        <v>383000</v>
      </c>
    </row>
    <row r="45" spans="1:9" ht="12.45" customHeight="1">
      <c r="A45" s="49" t="s">
        <v>414</v>
      </c>
      <c r="B45" s="21">
        <v>364000</v>
      </c>
      <c r="C45" s="21">
        <v>1000</v>
      </c>
      <c r="D45" s="40" t="s">
        <v>220</v>
      </c>
      <c r="E45" s="21">
        <v>183000</v>
      </c>
      <c r="F45" s="21">
        <v>17000</v>
      </c>
      <c r="G45" s="21">
        <v>22000</v>
      </c>
      <c r="H45" s="21">
        <v>135000</v>
      </c>
    </row>
    <row r="46" spans="1:9" ht="21.45" customHeight="1">
      <c r="A46" s="344" t="s">
        <v>224</v>
      </c>
      <c r="B46" s="344"/>
      <c r="C46" s="344"/>
      <c r="D46" s="344"/>
      <c r="E46" s="344"/>
      <c r="F46" s="344"/>
      <c r="G46" s="344"/>
      <c r="H46" s="344"/>
      <c r="I46" s="344"/>
    </row>
    <row r="47" spans="1:9" ht="11.25" customHeight="1">
      <c r="A47" s="344" t="s">
        <v>337</v>
      </c>
      <c r="B47" s="344"/>
      <c r="C47" s="344"/>
      <c r="D47" s="344"/>
      <c r="E47" s="344"/>
      <c r="F47" s="344"/>
      <c r="G47" s="344"/>
      <c r="H47" s="344"/>
      <c r="I47" s="344"/>
    </row>
    <row r="48" spans="1:9" ht="1.95" customHeight="1"/>
    <row r="49" spans="1:9" ht="108.75" customHeight="1">
      <c r="A49" s="321" t="s">
        <v>420</v>
      </c>
      <c r="B49" s="321"/>
      <c r="C49" s="321"/>
      <c r="D49" s="321"/>
      <c r="E49" s="321"/>
      <c r="F49" s="321"/>
      <c r="G49" s="321"/>
      <c r="H49" s="321"/>
      <c r="I49" s="321"/>
    </row>
  </sheetData>
  <mergeCells count="7">
    <mergeCell ref="A47:I47"/>
    <mergeCell ref="A49:I49"/>
    <mergeCell ref="A1:I1"/>
    <mergeCell ref="A2:A3"/>
    <mergeCell ref="B2:B3"/>
    <mergeCell ref="C2:H2"/>
    <mergeCell ref="A46:I46"/>
  </mergeCells>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0" tint="-0.249977111117893"/>
  </sheetPr>
  <dimension ref="A1:K52"/>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39" customHeight="1">
      <c r="A1" s="321" t="s">
        <v>421</v>
      </c>
      <c r="B1" s="321"/>
      <c r="C1" s="321"/>
      <c r="D1" s="321"/>
      <c r="E1" s="321"/>
      <c r="F1" s="321"/>
      <c r="G1" s="321"/>
      <c r="H1" s="321"/>
      <c r="I1" s="321"/>
      <c r="J1" s="321"/>
      <c r="K1" s="321"/>
    </row>
    <row r="2" spans="1:11" ht="1.95" customHeight="1"/>
    <row r="3" spans="1:11" ht="13.95" customHeight="1">
      <c r="A3" s="339" t="s">
        <v>418</v>
      </c>
      <c r="B3" s="347" t="s">
        <v>167</v>
      </c>
      <c r="C3" s="330" t="s">
        <v>422</v>
      </c>
      <c r="D3" s="331"/>
      <c r="E3" s="331"/>
      <c r="F3" s="331"/>
      <c r="G3" s="331"/>
      <c r="H3" s="331"/>
      <c r="I3" s="331"/>
      <c r="J3" s="332"/>
    </row>
    <row r="4" spans="1:11" ht="13.95" customHeight="1">
      <c r="A4" s="341"/>
      <c r="B4" s="348"/>
      <c r="C4" s="23" t="s">
        <v>423</v>
      </c>
      <c r="D4" s="60" t="s">
        <v>424</v>
      </c>
      <c r="E4" s="61" t="s">
        <v>425</v>
      </c>
      <c r="F4" s="61" t="s">
        <v>426</v>
      </c>
      <c r="G4" s="61" t="s">
        <v>427</v>
      </c>
      <c r="H4" s="61" t="s">
        <v>428</v>
      </c>
      <c r="I4" s="61" t="s">
        <v>429</v>
      </c>
      <c r="J4" s="60" t="s">
        <v>430</v>
      </c>
    </row>
    <row r="5" spans="1:11" ht="12.45" customHeight="1">
      <c r="A5" s="6" t="s">
        <v>419</v>
      </c>
      <c r="B5" s="7">
        <v>51764000</v>
      </c>
      <c r="C5" s="7">
        <v>8005000</v>
      </c>
      <c r="D5" s="7">
        <v>9950000</v>
      </c>
      <c r="E5" s="7">
        <v>7972000</v>
      </c>
      <c r="F5" s="7">
        <v>6358000</v>
      </c>
      <c r="G5" s="7">
        <v>5154000</v>
      </c>
      <c r="H5" s="7">
        <v>4472000</v>
      </c>
      <c r="I5" s="7">
        <v>3535000</v>
      </c>
      <c r="J5" s="7">
        <v>6318000</v>
      </c>
    </row>
    <row r="6" spans="1:11" ht="12.45" customHeight="1">
      <c r="A6" s="8" t="s">
        <v>411</v>
      </c>
      <c r="B6" s="9">
        <v>22804000</v>
      </c>
      <c r="C6" s="9">
        <v>2950000</v>
      </c>
      <c r="D6" s="9">
        <v>3904000</v>
      </c>
      <c r="E6" s="9">
        <v>3344000</v>
      </c>
      <c r="F6" s="9">
        <v>2749000</v>
      </c>
      <c r="G6" s="9">
        <v>2441000</v>
      </c>
      <c r="H6" s="9">
        <v>2136000</v>
      </c>
      <c r="I6" s="9">
        <v>1749000</v>
      </c>
      <c r="J6" s="9">
        <v>3531000</v>
      </c>
    </row>
    <row r="7" spans="1:11" ht="12.45" customHeight="1">
      <c r="A7" s="8" t="s">
        <v>412</v>
      </c>
      <c r="B7" s="9">
        <v>23329000</v>
      </c>
      <c r="C7" s="9">
        <v>3755000</v>
      </c>
      <c r="D7" s="9">
        <v>4720000</v>
      </c>
      <c r="E7" s="9">
        <v>3643000</v>
      </c>
      <c r="F7" s="9">
        <v>3036000</v>
      </c>
      <c r="G7" s="9">
        <v>2343000</v>
      </c>
      <c r="H7" s="9">
        <v>1981000</v>
      </c>
      <c r="I7" s="9">
        <v>1464000</v>
      </c>
      <c r="J7" s="9">
        <v>2388000</v>
      </c>
    </row>
    <row r="8" spans="1:11" ht="12.45" customHeight="1">
      <c r="A8" s="8" t="s">
        <v>413</v>
      </c>
      <c r="B8" s="9">
        <v>4394000</v>
      </c>
      <c r="C8" s="9">
        <v>1006000</v>
      </c>
      <c r="D8" s="9">
        <v>1011000</v>
      </c>
      <c r="E8" s="9">
        <v>767000</v>
      </c>
      <c r="F8" s="9">
        <v>447000</v>
      </c>
      <c r="G8" s="9">
        <v>289000</v>
      </c>
      <c r="H8" s="9">
        <v>304000</v>
      </c>
      <c r="I8" s="9">
        <v>260000</v>
      </c>
      <c r="J8" s="9">
        <v>310000</v>
      </c>
    </row>
    <row r="9" spans="1:11" ht="12.45" customHeight="1">
      <c r="A9" s="8" t="s">
        <v>414</v>
      </c>
      <c r="B9" s="9">
        <v>1236000</v>
      </c>
      <c r="C9" s="9">
        <v>295000</v>
      </c>
      <c r="D9" s="9">
        <v>315000</v>
      </c>
      <c r="E9" s="9">
        <v>217000</v>
      </c>
      <c r="F9" s="9">
        <v>125000</v>
      </c>
      <c r="G9" s="9">
        <v>81000</v>
      </c>
      <c r="H9" s="9">
        <v>52000</v>
      </c>
      <c r="I9" s="9">
        <v>61000</v>
      </c>
      <c r="J9" s="9">
        <v>89000</v>
      </c>
    </row>
    <row r="10" spans="1:11" ht="12.45" customHeight="1">
      <c r="A10" s="8" t="s">
        <v>174</v>
      </c>
      <c r="B10" s="9">
        <v>7894000</v>
      </c>
      <c r="C10" s="9">
        <v>1564000</v>
      </c>
      <c r="D10" s="9">
        <v>1734000</v>
      </c>
      <c r="E10" s="9">
        <v>1198000</v>
      </c>
      <c r="F10" s="9">
        <v>911000</v>
      </c>
      <c r="G10" s="9">
        <v>777000</v>
      </c>
      <c r="H10" s="9">
        <v>596000</v>
      </c>
      <c r="I10" s="9">
        <v>491000</v>
      </c>
      <c r="J10" s="9">
        <v>623000</v>
      </c>
    </row>
    <row r="11" spans="1:11" ht="12.45" customHeight="1">
      <c r="A11" s="10" t="s">
        <v>411</v>
      </c>
      <c r="B11" s="9">
        <v>3493000</v>
      </c>
      <c r="C11" s="9">
        <v>616000</v>
      </c>
      <c r="D11" s="9">
        <v>733000</v>
      </c>
      <c r="E11" s="9">
        <v>501000</v>
      </c>
      <c r="F11" s="9">
        <v>417000</v>
      </c>
      <c r="G11" s="9">
        <v>359000</v>
      </c>
      <c r="H11" s="9">
        <v>267000</v>
      </c>
      <c r="I11" s="9">
        <v>261000</v>
      </c>
      <c r="J11" s="9">
        <v>338000</v>
      </c>
    </row>
    <row r="12" spans="1:11" ht="12.45" customHeight="1">
      <c r="A12" s="10" t="s">
        <v>412</v>
      </c>
      <c r="B12" s="9">
        <v>3651000</v>
      </c>
      <c r="C12" s="9">
        <v>754000</v>
      </c>
      <c r="D12" s="9">
        <v>807000</v>
      </c>
      <c r="E12" s="9">
        <v>573000</v>
      </c>
      <c r="F12" s="9">
        <v>426000</v>
      </c>
      <c r="G12" s="9">
        <v>361000</v>
      </c>
      <c r="H12" s="9">
        <v>278000</v>
      </c>
      <c r="I12" s="9">
        <v>199000</v>
      </c>
      <c r="J12" s="9">
        <v>253000</v>
      </c>
    </row>
    <row r="13" spans="1:11" ht="12.45" customHeight="1">
      <c r="A13" s="10" t="s">
        <v>413</v>
      </c>
      <c r="B13" s="9">
        <v>617000</v>
      </c>
      <c r="C13" s="9">
        <v>155000</v>
      </c>
      <c r="D13" s="9">
        <v>147000</v>
      </c>
      <c r="E13" s="9">
        <v>105000</v>
      </c>
      <c r="F13" s="9">
        <v>61000</v>
      </c>
      <c r="G13" s="9">
        <v>49000</v>
      </c>
      <c r="H13" s="9">
        <v>43000</v>
      </c>
      <c r="I13" s="9">
        <v>28000</v>
      </c>
      <c r="J13" s="9">
        <v>27000</v>
      </c>
    </row>
    <row r="14" spans="1:11" ht="12.45" customHeight="1">
      <c r="A14" s="10" t="s">
        <v>414</v>
      </c>
      <c r="B14" s="9">
        <v>133000</v>
      </c>
      <c r="C14" s="9">
        <v>38000</v>
      </c>
      <c r="D14" s="9">
        <v>47000</v>
      </c>
      <c r="E14" s="9">
        <v>19000</v>
      </c>
      <c r="F14" s="9">
        <v>6000</v>
      </c>
      <c r="G14" s="9">
        <v>8000</v>
      </c>
      <c r="H14" s="9">
        <v>7000</v>
      </c>
      <c r="I14" s="13" t="s">
        <v>191</v>
      </c>
      <c r="J14" s="9">
        <v>4000</v>
      </c>
    </row>
    <row r="15" spans="1:11" ht="24.75" customHeight="1">
      <c r="A15" s="10" t="s">
        <v>227</v>
      </c>
      <c r="B15" s="11">
        <v>794000</v>
      </c>
      <c r="C15" s="11">
        <v>192000</v>
      </c>
      <c r="D15" s="11">
        <v>195000</v>
      </c>
      <c r="E15" s="11">
        <v>109000</v>
      </c>
      <c r="F15" s="11">
        <v>71000</v>
      </c>
      <c r="G15" s="11">
        <v>84000</v>
      </c>
      <c r="H15" s="11">
        <v>42000</v>
      </c>
      <c r="I15" s="11">
        <v>42000</v>
      </c>
      <c r="J15" s="11">
        <v>59000</v>
      </c>
    </row>
    <row r="16" spans="1:11" ht="12.45" customHeight="1">
      <c r="A16" s="12" t="s">
        <v>411</v>
      </c>
      <c r="B16" s="9">
        <v>346000</v>
      </c>
      <c r="C16" s="9">
        <v>83000</v>
      </c>
      <c r="D16" s="9">
        <v>74000</v>
      </c>
      <c r="E16" s="9">
        <v>43000</v>
      </c>
      <c r="F16" s="9">
        <v>26000</v>
      </c>
      <c r="G16" s="9">
        <v>41000</v>
      </c>
      <c r="H16" s="9">
        <v>18000</v>
      </c>
      <c r="I16" s="9">
        <v>24000</v>
      </c>
      <c r="J16" s="9">
        <v>37000</v>
      </c>
    </row>
    <row r="17" spans="1:10" ht="12.45" customHeight="1">
      <c r="A17" s="12" t="s">
        <v>412</v>
      </c>
      <c r="B17" s="9">
        <v>371000</v>
      </c>
      <c r="C17" s="9">
        <v>89000</v>
      </c>
      <c r="D17" s="9">
        <v>99000</v>
      </c>
      <c r="E17" s="9">
        <v>52000</v>
      </c>
      <c r="F17" s="9">
        <v>41000</v>
      </c>
      <c r="G17" s="9">
        <v>37000</v>
      </c>
      <c r="H17" s="9">
        <v>20000</v>
      </c>
      <c r="I17" s="9">
        <v>14000</v>
      </c>
      <c r="J17" s="9">
        <v>19000</v>
      </c>
    </row>
    <row r="18" spans="1:10" ht="12.45" customHeight="1">
      <c r="A18" s="12" t="s">
        <v>413</v>
      </c>
      <c r="B18" s="9">
        <v>65000</v>
      </c>
      <c r="C18" s="9">
        <v>15000</v>
      </c>
      <c r="D18" s="9">
        <v>18000</v>
      </c>
      <c r="E18" s="9">
        <v>13000</v>
      </c>
      <c r="F18" s="9">
        <v>4000</v>
      </c>
      <c r="G18" s="9">
        <v>6000</v>
      </c>
      <c r="H18" s="9">
        <v>4000</v>
      </c>
      <c r="I18" s="9">
        <v>3000</v>
      </c>
      <c r="J18" s="9">
        <v>2000</v>
      </c>
    </row>
    <row r="19" spans="1:10" ht="12.45" customHeight="1">
      <c r="A19" s="12" t="s">
        <v>414</v>
      </c>
      <c r="B19" s="9">
        <v>12000</v>
      </c>
      <c r="C19" s="9">
        <v>5000</v>
      </c>
      <c r="D19" s="9">
        <v>4000</v>
      </c>
      <c r="E19" s="9">
        <v>1000</v>
      </c>
      <c r="F19" s="9">
        <v>1000</v>
      </c>
      <c r="G19" s="13" t="s">
        <v>220</v>
      </c>
      <c r="H19" s="13" t="s">
        <v>220</v>
      </c>
      <c r="I19" s="13" t="s">
        <v>220</v>
      </c>
      <c r="J19" s="13" t="s">
        <v>220</v>
      </c>
    </row>
    <row r="20" spans="1:10" ht="24.75" customHeight="1">
      <c r="A20" s="10" t="s">
        <v>228</v>
      </c>
      <c r="B20" s="11">
        <v>4031000</v>
      </c>
      <c r="C20" s="11">
        <v>716000</v>
      </c>
      <c r="D20" s="11">
        <v>861000</v>
      </c>
      <c r="E20" s="11">
        <v>656000</v>
      </c>
      <c r="F20" s="11">
        <v>525000</v>
      </c>
      <c r="G20" s="11">
        <v>424000</v>
      </c>
      <c r="H20" s="11">
        <v>327000</v>
      </c>
      <c r="I20" s="11">
        <v>253000</v>
      </c>
      <c r="J20" s="11">
        <v>271000</v>
      </c>
    </row>
    <row r="21" spans="1:10" ht="12.45" customHeight="1">
      <c r="A21" s="12" t="s">
        <v>411</v>
      </c>
      <c r="B21" s="9">
        <v>1736000</v>
      </c>
      <c r="C21" s="9">
        <v>269000</v>
      </c>
      <c r="D21" s="9">
        <v>367000</v>
      </c>
      <c r="E21" s="9">
        <v>277000</v>
      </c>
      <c r="F21" s="9">
        <v>241000</v>
      </c>
      <c r="G21" s="9">
        <v>187000</v>
      </c>
      <c r="H21" s="9">
        <v>140000</v>
      </c>
      <c r="I21" s="9">
        <v>124000</v>
      </c>
      <c r="J21" s="9">
        <v>130000</v>
      </c>
    </row>
    <row r="22" spans="1:10" ht="12.45" customHeight="1">
      <c r="A22" s="12" t="s">
        <v>412</v>
      </c>
      <c r="B22" s="9">
        <v>1896000</v>
      </c>
      <c r="C22" s="9">
        <v>357000</v>
      </c>
      <c r="D22" s="9">
        <v>389000</v>
      </c>
      <c r="E22" s="9">
        <v>312000</v>
      </c>
      <c r="F22" s="9">
        <v>240000</v>
      </c>
      <c r="G22" s="9">
        <v>205000</v>
      </c>
      <c r="H22" s="9">
        <v>157000</v>
      </c>
      <c r="I22" s="9">
        <v>111000</v>
      </c>
      <c r="J22" s="9">
        <v>126000</v>
      </c>
    </row>
    <row r="23" spans="1:10" ht="12.45" customHeight="1">
      <c r="A23" s="12" t="s">
        <v>413</v>
      </c>
      <c r="B23" s="9">
        <v>332000</v>
      </c>
      <c r="C23" s="9">
        <v>73000</v>
      </c>
      <c r="D23" s="9">
        <v>76000</v>
      </c>
      <c r="E23" s="9">
        <v>60000</v>
      </c>
      <c r="F23" s="9">
        <v>40000</v>
      </c>
      <c r="G23" s="9">
        <v>26000</v>
      </c>
      <c r="H23" s="9">
        <v>26000</v>
      </c>
      <c r="I23" s="9">
        <v>16000</v>
      </c>
      <c r="J23" s="9">
        <v>14000</v>
      </c>
    </row>
    <row r="24" spans="1:10" ht="12.45" customHeight="1">
      <c r="A24" s="12" t="s">
        <v>414</v>
      </c>
      <c r="B24" s="9">
        <v>67000</v>
      </c>
      <c r="C24" s="9">
        <v>17000</v>
      </c>
      <c r="D24" s="9">
        <v>28000</v>
      </c>
      <c r="E24" s="9">
        <v>7000</v>
      </c>
      <c r="F24" s="9">
        <v>3000</v>
      </c>
      <c r="G24" s="9">
        <v>5000</v>
      </c>
      <c r="H24" s="9">
        <v>4000</v>
      </c>
      <c r="I24" s="13" t="s">
        <v>191</v>
      </c>
      <c r="J24" s="13" t="s">
        <v>220</v>
      </c>
    </row>
    <row r="25" spans="1:10" ht="12.45" customHeight="1">
      <c r="A25" s="10" t="s">
        <v>229</v>
      </c>
      <c r="B25" s="9">
        <v>408000</v>
      </c>
      <c r="C25" s="9">
        <v>92000</v>
      </c>
      <c r="D25" s="9">
        <v>92000</v>
      </c>
      <c r="E25" s="9">
        <v>60000</v>
      </c>
      <c r="F25" s="9">
        <v>35000</v>
      </c>
      <c r="G25" s="9">
        <v>35000</v>
      </c>
      <c r="H25" s="9">
        <v>32000</v>
      </c>
      <c r="I25" s="9">
        <v>27000</v>
      </c>
      <c r="J25" s="9">
        <v>33000</v>
      </c>
    </row>
    <row r="26" spans="1:10" ht="12.45" customHeight="1">
      <c r="A26" s="12" t="s">
        <v>411</v>
      </c>
      <c r="B26" s="9">
        <v>166000</v>
      </c>
      <c r="C26" s="9">
        <v>32000</v>
      </c>
      <c r="D26" s="9">
        <v>34000</v>
      </c>
      <c r="E26" s="9">
        <v>22000</v>
      </c>
      <c r="F26" s="9">
        <v>14000</v>
      </c>
      <c r="G26" s="9">
        <v>17000</v>
      </c>
      <c r="H26" s="9">
        <v>16000</v>
      </c>
      <c r="I26" s="9">
        <v>13000</v>
      </c>
      <c r="J26" s="9">
        <v>18000</v>
      </c>
    </row>
    <row r="27" spans="1:10" ht="12.45" customHeight="1">
      <c r="A27" s="12" t="s">
        <v>412</v>
      </c>
      <c r="B27" s="9">
        <v>202000</v>
      </c>
      <c r="C27" s="9">
        <v>51000</v>
      </c>
      <c r="D27" s="9">
        <v>49000</v>
      </c>
      <c r="E27" s="9">
        <v>32000</v>
      </c>
      <c r="F27" s="9">
        <v>16000</v>
      </c>
      <c r="G27" s="9">
        <v>15000</v>
      </c>
      <c r="H27" s="9">
        <v>13000</v>
      </c>
      <c r="I27" s="9">
        <v>12000</v>
      </c>
      <c r="J27" s="9">
        <v>13000</v>
      </c>
    </row>
    <row r="28" spans="1:10" ht="12.45" customHeight="1">
      <c r="A28" s="12" t="s">
        <v>413</v>
      </c>
      <c r="B28" s="9">
        <v>33000</v>
      </c>
      <c r="C28" s="9">
        <v>7000</v>
      </c>
      <c r="D28" s="9">
        <v>7000</v>
      </c>
      <c r="E28" s="9">
        <v>4000</v>
      </c>
      <c r="F28" s="9">
        <v>4000</v>
      </c>
      <c r="G28" s="13" t="s">
        <v>191</v>
      </c>
      <c r="H28" s="9">
        <v>3000</v>
      </c>
      <c r="I28" s="13" t="s">
        <v>191</v>
      </c>
      <c r="J28" s="9">
        <v>2000</v>
      </c>
    </row>
    <row r="29" spans="1:10" ht="12.45" customHeight="1">
      <c r="A29" s="12" t="s">
        <v>414</v>
      </c>
      <c r="B29" s="9">
        <v>8000</v>
      </c>
      <c r="C29" s="13" t="s">
        <v>191</v>
      </c>
      <c r="D29" s="9">
        <v>2000</v>
      </c>
      <c r="E29" s="9">
        <v>2000</v>
      </c>
      <c r="F29" s="13" t="s">
        <v>191</v>
      </c>
      <c r="G29" s="13" t="s">
        <v>222</v>
      </c>
      <c r="H29" s="13" t="s">
        <v>222</v>
      </c>
      <c r="I29" s="13" t="s">
        <v>220</v>
      </c>
      <c r="J29" s="13" t="s">
        <v>220</v>
      </c>
    </row>
    <row r="30" spans="1:10" ht="12.45" customHeight="1">
      <c r="A30" s="10" t="s">
        <v>230</v>
      </c>
      <c r="B30" s="9">
        <v>712000</v>
      </c>
      <c r="C30" s="9">
        <v>182000</v>
      </c>
      <c r="D30" s="9">
        <v>158000</v>
      </c>
      <c r="E30" s="9">
        <v>105000</v>
      </c>
      <c r="F30" s="9">
        <v>73000</v>
      </c>
      <c r="G30" s="9">
        <v>57000</v>
      </c>
      <c r="H30" s="9">
        <v>41000</v>
      </c>
      <c r="I30" s="9">
        <v>43000</v>
      </c>
      <c r="J30" s="9">
        <v>53000</v>
      </c>
    </row>
    <row r="31" spans="1:10" ht="12.45" customHeight="1">
      <c r="A31" s="12" t="s">
        <v>411</v>
      </c>
      <c r="B31" s="9">
        <v>335000</v>
      </c>
      <c r="C31" s="9">
        <v>77000</v>
      </c>
      <c r="D31" s="9">
        <v>69000</v>
      </c>
      <c r="E31" s="9">
        <v>42000</v>
      </c>
      <c r="F31" s="9">
        <v>30000</v>
      </c>
      <c r="G31" s="9">
        <v>32000</v>
      </c>
      <c r="H31" s="9">
        <v>18000</v>
      </c>
      <c r="I31" s="9">
        <v>27000</v>
      </c>
      <c r="J31" s="9">
        <v>40000</v>
      </c>
    </row>
    <row r="32" spans="1:10" ht="12.45" customHeight="1">
      <c r="A32" s="12" t="s">
        <v>412</v>
      </c>
      <c r="B32" s="9">
        <v>313000</v>
      </c>
      <c r="C32" s="9">
        <v>81000</v>
      </c>
      <c r="D32" s="9">
        <v>69000</v>
      </c>
      <c r="E32" s="9">
        <v>52000</v>
      </c>
      <c r="F32" s="9">
        <v>40000</v>
      </c>
      <c r="G32" s="9">
        <v>23000</v>
      </c>
      <c r="H32" s="9">
        <v>21000</v>
      </c>
      <c r="I32" s="9">
        <v>14000</v>
      </c>
      <c r="J32" s="9">
        <v>12000</v>
      </c>
    </row>
    <row r="33" spans="1:10" ht="12.45" customHeight="1">
      <c r="A33" s="12" t="s">
        <v>413</v>
      </c>
      <c r="B33" s="9">
        <v>50000</v>
      </c>
      <c r="C33" s="9">
        <v>19000</v>
      </c>
      <c r="D33" s="9">
        <v>12000</v>
      </c>
      <c r="E33" s="13" t="s">
        <v>191</v>
      </c>
      <c r="F33" s="9">
        <v>3000</v>
      </c>
      <c r="G33" s="9">
        <v>3000</v>
      </c>
      <c r="H33" s="9">
        <v>2000</v>
      </c>
      <c r="I33" s="13" t="s">
        <v>191</v>
      </c>
      <c r="J33" s="13" t="s">
        <v>191</v>
      </c>
    </row>
    <row r="34" spans="1:10" ht="12.45" customHeight="1">
      <c r="A34" s="12" t="s">
        <v>414</v>
      </c>
      <c r="B34" s="9">
        <v>14000</v>
      </c>
      <c r="C34" s="13" t="s">
        <v>191</v>
      </c>
      <c r="D34" s="13" t="s">
        <v>191</v>
      </c>
      <c r="E34" s="13" t="s">
        <v>191</v>
      </c>
      <c r="F34" s="13" t="s">
        <v>220</v>
      </c>
      <c r="G34" s="13" t="s">
        <v>220</v>
      </c>
      <c r="H34" s="13" t="s">
        <v>220</v>
      </c>
      <c r="I34" s="13" t="s">
        <v>220</v>
      </c>
      <c r="J34" s="13" t="s">
        <v>220</v>
      </c>
    </row>
    <row r="35" spans="1:10" ht="12.45" customHeight="1">
      <c r="A35" s="10" t="s">
        <v>231</v>
      </c>
      <c r="B35" s="9">
        <v>1949000</v>
      </c>
      <c r="C35" s="9">
        <v>382000</v>
      </c>
      <c r="D35" s="9">
        <v>428000</v>
      </c>
      <c r="E35" s="9">
        <v>267000</v>
      </c>
      <c r="F35" s="9">
        <v>207000</v>
      </c>
      <c r="G35" s="9">
        <v>178000</v>
      </c>
      <c r="H35" s="9">
        <v>154000</v>
      </c>
      <c r="I35" s="9">
        <v>126000</v>
      </c>
      <c r="J35" s="9">
        <v>207000</v>
      </c>
    </row>
    <row r="36" spans="1:10" ht="12.45" customHeight="1">
      <c r="A36" s="12" t="s">
        <v>411</v>
      </c>
      <c r="B36" s="9">
        <v>911000</v>
      </c>
      <c r="C36" s="9">
        <v>156000</v>
      </c>
      <c r="D36" s="9">
        <v>188000</v>
      </c>
      <c r="E36" s="9">
        <v>117000</v>
      </c>
      <c r="F36" s="9">
        <v>106000</v>
      </c>
      <c r="G36" s="9">
        <v>83000</v>
      </c>
      <c r="H36" s="9">
        <v>74000</v>
      </c>
      <c r="I36" s="9">
        <v>73000</v>
      </c>
      <c r="J36" s="9">
        <v>113000</v>
      </c>
    </row>
    <row r="37" spans="1:10" ht="12.45" customHeight="1">
      <c r="A37" s="12" t="s">
        <v>412</v>
      </c>
      <c r="B37" s="9">
        <v>869000</v>
      </c>
      <c r="C37" s="9">
        <v>175000</v>
      </c>
      <c r="D37" s="9">
        <v>201000</v>
      </c>
      <c r="E37" s="9">
        <v>124000</v>
      </c>
      <c r="F37" s="9">
        <v>90000</v>
      </c>
      <c r="G37" s="9">
        <v>81000</v>
      </c>
      <c r="H37" s="9">
        <v>68000</v>
      </c>
      <c r="I37" s="9">
        <v>47000</v>
      </c>
      <c r="J37" s="9">
        <v>83000</v>
      </c>
    </row>
    <row r="38" spans="1:10" ht="12.45" customHeight="1">
      <c r="A38" s="12" t="s">
        <v>413</v>
      </c>
      <c r="B38" s="9">
        <v>137000</v>
      </c>
      <c r="C38" s="9">
        <v>40000</v>
      </c>
      <c r="D38" s="9">
        <v>33000</v>
      </c>
      <c r="E38" s="9">
        <v>20000</v>
      </c>
      <c r="F38" s="9">
        <v>10000</v>
      </c>
      <c r="G38" s="9">
        <v>12000</v>
      </c>
      <c r="H38" s="9">
        <v>9000</v>
      </c>
      <c r="I38" s="9">
        <v>6000</v>
      </c>
      <c r="J38" s="9">
        <v>9000</v>
      </c>
    </row>
    <row r="39" spans="1:10" ht="12.45" customHeight="1">
      <c r="A39" s="12" t="s">
        <v>414</v>
      </c>
      <c r="B39" s="9">
        <v>32000</v>
      </c>
      <c r="C39" s="9">
        <v>11000</v>
      </c>
      <c r="D39" s="9">
        <v>6000</v>
      </c>
      <c r="E39" s="9">
        <v>6000</v>
      </c>
      <c r="F39" s="9">
        <v>1000</v>
      </c>
      <c r="G39" s="9">
        <v>2000</v>
      </c>
      <c r="H39" s="9">
        <v>3000</v>
      </c>
      <c r="I39" s="9">
        <v>1000</v>
      </c>
      <c r="J39" s="9">
        <v>2000</v>
      </c>
    </row>
    <row r="40" spans="1:10" ht="12.45" customHeight="1">
      <c r="A40" s="8" t="s">
        <v>175</v>
      </c>
      <c r="B40" s="9">
        <v>9522000</v>
      </c>
      <c r="C40" s="9">
        <v>1862000</v>
      </c>
      <c r="D40" s="9">
        <v>2006000</v>
      </c>
      <c r="E40" s="9">
        <v>1477000</v>
      </c>
      <c r="F40" s="9">
        <v>1059000</v>
      </c>
      <c r="G40" s="9">
        <v>906000</v>
      </c>
      <c r="H40" s="9">
        <v>705000</v>
      </c>
      <c r="I40" s="9">
        <v>533000</v>
      </c>
      <c r="J40" s="9">
        <v>973000</v>
      </c>
    </row>
    <row r="41" spans="1:10" ht="12.45" customHeight="1">
      <c r="A41" s="10" t="s">
        <v>411</v>
      </c>
      <c r="B41" s="9">
        <v>4272000</v>
      </c>
      <c r="C41" s="9">
        <v>681000</v>
      </c>
      <c r="D41" s="9">
        <v>840000</v>
      </c>
      <c r="E41" s="9">
        <v>672000</v>
      </c>
      <c r="F41" s="9">
        <v>473000</v>
      </c>
      <c r="G41" s="9">
        <v>424000</v>
      </c>
      <c r="H41" s="9">
        <v>342000</v>
      </c>
      <c r="I41" s="9">
        <v>262000</v>
      </c>
      <c r="J41" s="9">
        <v>577000</v>
      </c>
    </row>
    <row r="42" spans="1:10" ht="12.45" customHeight="1">
      <c r="A42" s="10" t="s">
        <v>412</v>
      </c>
      <c r="B42" s="9">
        <v>4346000</v>
      </c>
      <c r="C42" s="9">
        <v>905000</v>
      </c>
      <c r="D42" s="9">
        <v>947000</v>
      </c>
      <c r="E42" s="9">
        <v>675000</v>
      </c>
      <c r="F42" s="9">
        <v>499000</v>
      </c>
      <c r="G42" s="9">
        <v>422000</v>
      </c>
      <c r="H42" s="9">
        <v>320000</v>
      </c>
      <c r="I42" s="9">
        <v>233000</v>
      </c>
      <c r="J42" s="9">
        <v>344000</v>
      </c>
    </row>
    <row r="43" spans="1:10" ht="12.45" customHeight="1">
      <c r="A43" s="10" t="s">
        <v>413</v>
      </c>
      <c r="B43" s="9">
        <v>706000</v>
      </c>
      <c r="C43" s="9">
        <v>206000</v>
      </c>
      <c r="D43" s="9">
        <v>169000</v>
      </c>
      <c r="E43" s="9">
        <v>109000</v>
      </c>
      <c r="F43" s="9">
        <v>75000</v>
      </c>
      <c r="G43" s="9">
        <v>41000</v>
      </c>
      <c r="H43" s="9">
        <v>39000</v>
      </c>
      <c r="I43" s="9">
        <v>31000</v>
      </c>
      <c r="J43" s="9">
        <v>36000</v>
      </c>
    </row>
    <row r="44" spans="1:10" ht="12.45" customHeight="1">
      <c r="A44" s="10" t="s">
        <v>414</v>
      </c>
      <c r="B44" s="9">
        <v>198000</v>
      </c>
      <c r="C44" s="9">
        <v>70000</v>
      </c>
      <c r="D44" s="9">
        <v>49000</v>
      </c>
      <c r="E44" s="9">
        <v>21000</v>
      </c>
      <c r="F44" s="9">
        <v>13000</v>
      </c>
      <c r="G44" s="9">
        <v>19000</v>
      </c>
      <c r="H44" s="13" t="s">
        <v>191</v>
      </c>
      <c r="I44" s="9">
        <v>6000</v>
      </c>
      <c r="J44" s="9">
        <v>16000</v>
      </c>
    </row>
    <row r="45" spans="1:10" ht="12.45" customHeight="1">
      <c r="A45" s="8" t="s">
        <v>176</v>
      </c>
      <c r="B45" s="9">
        <v>34349000</v>
      </c>
      <c r="C45" s="9">
        <v>4580000</v>
      </c>
      <c r="D45" s="9">
        <v>6209000</v>
      </c>
      <c r="E45" s="9">
        <v>5297000</v>
      </c>
      <c r="F45" s="9">
        <v>4388000</v>
      </c>
      <c r="G45" s="9">
        <v>3470000</v>
      </c>
      <c r="H45" s="9">
        <v>3171000</v>
      </c>
      <c r="I45" s="9">
        <v>2511000</v>
      </c>
      <c r="J45" s="9">
        <v>4722000</v>
      </c>
    </row>
    <row r="46" spans="1:10" ht="12.45" customHeight="1">
      <c r="A46" s="10" t="s">
        <v>411</v>
      </c>
      <c r="B46" s="9">
        <v>15038000</v>
      </c>
      <c r="C46" s="9">
        <v>1652000</v>
      </c>
      <c r="D46" s="9">
        <v>2330000</v>
      </c>
      <c r="E46" s="9">
        <v>2171000</v>
      </c>
      <c r="F46" s="9">
        <v>1860000</v>
      </c>
      <c r="G46" s="9">
        <v>1658000</v>
      </c>
      <c r="H46" s="9">
        <v>1526000</v>
      </c>
      <c r="I46" s="9">
        <v>1225000</v>
      </c>
      <c r="J46" s="9">
        <v>2616000</v>
      </c>
    </row>
    <row r="47" spans="1:10" ht="12.45" customHeight="1">
      <c r="A47" s="10" t="s">
        <v>412</v>
      </c>
      <c r="B47" s="9">
        <v>15333000</v>
      </c>
      <c r="C47" s="9">
        <v>2096000</v>
      </c>
      <c r="D47" s="9">
        <v>2965000</v>
      </c>
      <c r="E47" s="9">
        <v>2395000</v>
      </c>
      <c r="F47" s="9">
        <v>2111000</v>
      </c>
      <c r="G47" s="9">
        <v>1561000</v>
      </c>
      <c r="H47" s="9">
        <v>1382000</v>
      </c>
      <c r="I47" s="9">
        <v>1033000</v>
      </c>
      <c r="J47" s="9">
        <v>1790000</v>
      </c>
    </row>
    <row r="48" spans="1:10" ht="12.45" customHeight="1">
      <c r="A48" s="10" t="s">
        <v>413</v>
      </c>
      <c r="B48" s="9">
        <v>3072000</v>
      </c>
      <c r="C48" s="9">
        <v>645000</v>
      </c>
      <c r="D48" s="9">
        <v>695000</v>
      </c>
      <c r="E48" s="9">
        <v>553000</v>
      </c>
      <c r="F48" s="9">
        <v>311000</v>
      </c>
      <c r="G48" s="9">
        <v>198000</v>
      </c>
      <c r="H48" s="9">
        <v>221000</v>
      </c>
      <c r="I48" s="9">
        <v>201000</v>
      </c>
      <c r="J48" s="9">
        <v>246000</v>
      </c>
    </row>
    <row r="49" spans="1:10" ht="12.45" customHeight="1">
      <c r="A49" s="10" t="s">
        <v>414</v>
      </c>
      <c r="B49" s="9">
        <v>905000</v>
      </c>
      <c r="C49" s="9">
        <v>187000</v>
      </c>
      <c r="D49" s="9">
        <v>219000</v>
      </c>
      <c r="E49" s="9">
        <v>177000</v>
      </c>
      <c r="F49" s="9">
        <v>106000</v>
      </c>
      <c r="G49" s="9">
        <v>53000</v>
      </c>
      <c r="H49" s="9">
        <v>41000</v>
      </c>
      <c r="I49" s="9">
        <v>52000</v>
      </c>
      <c r="J49" s="9">
        <v>69000</v>
      </c>
    </row>
    <row r="50" spans="1:10" ht="12.45" customHeight="1">
      <c r="A50" s="8" t="s">
        <v>282</v>
      </c>
      <c r="B50" s="9">
        <v>26493000</v>
      </c>
      <c r="C50" s="9">
        <v>4513000</v>
      </c>
      <c r="D50" s="9">
        <v>5481000</v>
      </c>
      <c r="E50" s="9">
        <v>4287000</v>
      </c>
      <c r="F50" s="9">
        <v>3234000</v>
      </c>
      <c r="G50" s="9">
        <v>2596000</v>
      </c>
      <c r="H50" s="9">
        <v>2183000</v>
      </c>
      <c r="I50" s="9">
        <v>1605000</v>
      </c>
      <c r="J50" s="9">
        <v>2595000</v>
      </c>
    </row>
    <row r="51" spans="1:10" ht="12.45" customHeight="1">
      <c r="A51" s="10" t="s">
        <v>411</v>
      </c>
      <c r="B51" s="9">
        <v>11230000</v>
      </c>
      <c r="C51" s="9">
        <v>1650000</v>
      </c>
      <c r="D51" s="9">
        <v>2093000</v>
      </c>
      <c r="E51" s="9">
        <v>1779000</v>
      </c>
      <c r="F51" s="9">
        <v>1334000</v>
      </c>
      <c r="G51" s="9">
        <v>1146000</v>
      </c>
      <c r="H51" s="9">
        <v>1040000</v>
      </c>
      <c r="I51" s="9">
        <v>758000</v>
      </c>
      <c r="J51" s="9">
        <v>1430000</v>
      </c>
    </row>
    <row r="52" spans="1:10" ht="12.45" customHeight="1">
      <c r="A52" s="10" t="s">
        <v>412</v>
      </c>
      <c r="B52" s="9">
        <v>12225000</v>
      </c>
      <c r="C52" s="9">
        <v>2123000</v>
      </c>
      <c r="D52" s="9">
        <v>2612000</v>
      </c>
      <c r="E52" s="9">
        <v>1981000</v>
      </c>
      <c r="F52" s="9">
        <v>1608000</v>
      </c>
      <c r="G52" s="9">
        <v>1264000</v>
      </c>
      <c r="H52" s="9">
        <v>975000</v>
      </c>
      <c r="I52" s="9">
        <v>681000</v>
      </c>
      <c r="J52" s="9">
        <v>981000</v>
      </c>
    </row>
  </sheetData>
  <mergeCells count="4">
    <mergeCell ref="A1:K1"/>
    <mergeCell ref="A3:A4"/>
    <mergeCell ref="B3:B4"/>
    <mergeCell ref="C3:J3"/>
  </mergeCell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0" tint="-0.249977111117893"/>
  </sheetPr>
  <dimension ref="A1:K52"/>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39" customHeight="1">
      <c r="A1" s="321" t="s">
        <v>421</v>
      </c>
      <c r="B1" s="321"/>
      <c r="C1" s="321"/>
      <c r="D1" s="321"/>
      <c r="E1" s="321"/>
      <c r="F1" s="321"/>
      <c r="G1" s="321"/>
      <c r="H1" s="321"/>
      <c r="I1" s="321"/>
      <c r="J1" s="321"/>
      <c r="K1" s="321"/>
    </row>
    <row r="2" spans="1:11" ht="1.95" customHeight="1"/>
    <row r="3" spans="1:11" ht="13.95" customHeight="1">
      <c r="A3" s="339" t="s">
        <v>418</v>
      </c>
      <c r="B3" s="347" t="s">
        <v>167</v>
      </c>
      <c r="C3" s="330" t="s">
        <v>422</v>
      </c>
      <c r="D3" s="331"/>
      <c r="E3" s="331"/>
      <c r="F3" s="331"/>
      <c r="G3" s="331"/>
      <c r="H3" s="331"/>
      <c r="I3" s="331"/>
      <c r="J3" s="332"/>
    </row>
    <row r="4" spans="1:11" ht="13.95" customHeight="1">
      <c r="A4" s="341"/>
      <c r="B4" s="348"/>
      <c r="C4" s="23" t="s">
        <v>423</v>
      </c>
      <c r="D4" s="60" t="s">
        <v>424</v>
      </c>
      <c r="E4" s="61" t="s">
        <v>425</v>
      </c>
      <c r="F4" s="61" t="s">
        <v>426</v>
      </c>
      <c r="G4" s="61" t="s">
        <v>427</v>
      </c>
      <c r="H4" s="61" t="s">
        <v>428</v>
      </c>
      <c r="I4" s="61" t="s">
        <v>429</v>
      </c>
      <c r="J4" s="60" t="s">
        <v>430</v>
      </c>
    </row>
    <row r="5" spans="1:11" ht="12.45" customHeight="1">
      <c r="A5" s="14" t="s">
        <v>413</v>
      </c>
      <c r="B5" s="7">
        <v>2309000</v>
      </c>
      <c r="C5" s="7">
        <v>552000</v>
      </c>
      <c r="D5" s="7">
        <v>580000</v>
      </c>
      <c r="E5" s="7">
        <v>403000</v>
      </c>
      <c r="F5" s="7">
        <v>225000</v>
      </c>
      <c r="G5" s="7">
        <v>133000</v>
      </c>
      <c r="H5" s="7">
        <v>134000</v>
      </c>
      <c r="I5" s="7">
        <v>138000</v>
      </c>
      <c r="J5" s="7">
        <v>143000</v>
      </c>
    </row>
    <row r="6" spans="1:11" ht="12.45" customHeight="1">
      <c r="A6" s="10" t="s">
        <v>414</v>
      </c>
      <c r="B6" s="9">
        <v>729000</v>
      </c>
      <c r="C6" s="9">
        <v>187000</v>
      </c>
      <c r="D6" s="9">
        <v>195000</v>
      </c>
      <c r="E6" s="9">
        <v>125000</v>
      </c>
      <c r="F6" s="9">
        <v>67000</v>
      </c>
      <c r="G6" s="9">
        <v>52000</v>
      </c>
      <c r="H6" s="9">
        <v>34000</v>
      </c>
      <c r="I6" s="9">
        <v>28000</v>
      </c>
      <c r="J6" s="9">
        <v>40000</v>
      </c>
    </row>
    <row r="7" spans="1:11" ht="12.45" customHeight="1">
      <c r="A7" s="10" t="s">
        <v>174</v>
      </c>
      <c r="B7" s="9">
        <v>2300000</v>
      </c>
      <c r="C7" s="9">
        <v>535000</v>
      </c>
      <c r="D7" s="9">
        <v>516000</v>
      </c>
      <c r="E7" s="9">
        <v>351000</v>
      </c>
      <c r="F7" s="9">
        <v>264000</v>
      </c>
      <c r="G7" s="9">
        <v>217000</v>
      </c>
      <c r="H7" s="9">
        <v>172000</v>
      </c>
      <c r="I7" s="9">
        <v>120000</v>
      </c>
      <c r="J7" s="9">
        <v>125000</v>
      </c>
    </row>
    <row r="8" spans="1:11" ht="12.45" customHeight="1">
      <c r="A8" s="12" t="s">
        <v>411</v>
      </c>
      <c r="B8" s="9">
        <v>990000</v>
      </c>
      <c r="C8" s="9">
        <v>204000</v>
      </c>
      <c r="D8" s="9">
        <v>217000</v>
      </c>
      <c r="E8" s="9">
        <v>153000</v>
      </c>
      <c r="F8" s="9">
        <v>116000</v>
      </c>
      <c r="G8" s="9">
        <v>92000</v>
      </c>
      <c r="H8" s="9">
        <v>74000</v>
      </c>
      <c r="I8" s="9">
        <v>63000</v>
      </c>
      <c r="J8" s="9">
        <v>71000</v>
      </c>
    </row>
    <row r="9" spans="1:11" ht="12.45" customHeight="1">
      <c r="A9" s="12" t="s">
        <v>412</v>
      </c>
      <c r="B9" s="9">
        <v>1077000</v>
      </c>
      <c r="C9" s="9">
        <v>270000</v>
      </c>
      <c r="D9" s="9">
        <v>237000</v>
      </c>
      <c r="E9" s="9">
        <v>160000</v>
      </c>
      <c r="F9" s="9">
        <v>131000</v>
      </c>
      <c r="G9" s="9">
        <v>106000</v>
      </c>
      <c r="H9" s="9">
        <v>79000</v>
      </c>
      <c r="I9" s="9">
        <v>48000</v>
      </c>
      <c r="J9" s="9">
        <v>48000</v>
      </c>
    </row>
    <row r="10" spans="1:11" ht="12.45" customHeight="1">
      <c r="A10" s="12" t="s">
        <v>413</v>
      </c>
      <c r="B10" s="9">
        <v>179000</v>
      </c>
      <c r="C10" s="9">
        <v>50000</v>
      </c>
      <c r="D10" s="9">
        <v>41000</v>
      </c>
      <c r="E10" s="9">
        <v>30000</v>
      </c>
      <c r="F10" s="9">
        <v>14000</v>
      </c>
      <c r="G10" s="9">
        <v>15000</v>
      </c>
      <c r="H10" s="9">
        <v>17000</v>
      </c>
      <c r="I10" s="9">
        <v>8000</v>
      </c>
      <c r="J10" s="9">
        <v>5000</v>
      </c>
    </row>
    <row r="11" spans="1:11" ht="12.45" customHeight="1">
      <c r="A11" s="12" t="s">
        <v>414</v>
      </c>
      <c r="B11" s="9">
        <v>54000</v>
      </c>
      <c r="C11" s="9">
        <v>12000</v>
      </c>
      <c r="D11" s="9">
        <v>21000</v>
      </c>
      <c r="E11" s="9">
        <v>9000</v>
      </c>
      <c r="F11" s="9">
        <v>3000</v>
      </c>
      <c r="G11" s="13" t="s">
        <v>191</v>
      </c>
      <c r="H11" s="13" t="s">
        <v>191</v>
      </c>
      <c r="I11" s="13" t="s">
        <v>220</v>
      </c>
      <c r="J11" s="13" t="s">
        <v>220</v>
      </c>
    </row>
    <row r="12" spans="1:11" ht="24.75" customHeight="1">
      <c r="A12" s="12" t="s">
        <v>227</v>
      </c>
      <c r="B12" s="11">
        <v>367000</v>
      </c>
      <c r="C12" s="11">
        <v>85000</v>
      </c>
      <c r="D12" s="11">
        <v>95000</v>
      </c>
      <c r="E12" s="11">
        <v>55000</v>
      </c>
      <c r="F12" s="11">
        <v>42000</v>
      </c>
      <c r="G12" s="11">
        <v>39000</v>
      </c>
      <c r="H12" s="11">
        <v>18000</v>
      </c>
      <c r="I12" s="11">
        <v>12000</v>
      </c>
      <c r="J12" s="11">
        <v>20000</v>
      </c>
    </row>
    <row r="13" spans="1:11" ht="12.45" customHeight="1">
      <c r="A13" s="15" t="s">
        <v>411</v>
      </c>
      <c r="B13" s="9">
        <v>160000</v>
      </c>
      <c r="C13" s="9">
        <v>34000</v>
      </c>
      <c r="D13" s="9">
        <v>40000</v>
      </c>
      <c r="E13" s="9">
        <v>24000</v>
      </c>
      <c r="F13" s="9">
        <v>16000</v>
      </c>
      <c r="G13" s="9">
        <v>18000</v>
      </c>
      <c r="H13" s="9">
        <v>8000</v>
      </c>
      <c r="I13" s="9">
        <v>8000</v>
      </c>
      <c r="J13" s="9">
        <v>12000</v>
      </c>
    </row>
    <row r="14" spans="1:11" ht="12.45" customHeight="1">
      <c r="A14" s="15" t="s">
        <v>412</v>
      </c>
      <c r="B14" s="9">
        <v>167000</v>
      </c>
      <c r="C14" s="9">
        <v>39000</v>
      </c>
      <c r="D14" s="9">
        <v>45000</v>
      </c>
      <c r="E14" s="9">
        <v>25000</v>
      </c>
      <c r="F14" s="9">
        <v>24000</v>
      </c>
      <c r="G14" s="9">
        <v>17000</v>
      </c>
      <c r="H14" s="9">
        <v>7000</v>
      </c>
      <c r="I14" s="9">
        <v>4000</v>
      </c>
      <c r="J14" s="9">
        <v>6000</v>
      </c>
    </row>
    <row r="15" spans="1:11" ht="12.45" customHeight="1">
      <c r="A15" s="15" t="s">
        <v>413</v>
      </c>
      <c r="B15" s="9">
        <v>33000</v>
      </c>
      <c r="C15" s="9">
        <v>10000</v>
      </c>
      <c r="D15" s="9">
        <v>7000</v>
      </c>
      <c r="E15" s="9">
        <v>5000</v>
      </c>
      <c r="F15" s="9">
        <v>3000</v>
      </c>
      <c r="G15" s="9">
        <v>4000</v>
      </c>
      <c r="H15" s="13" t="s">
        <v>191</v>
      </c>
      <c r="I15" s="13" t="s">
        <v>222</v>
      </c>
      <c r="J15" s="13" t="s">
        <v>191</v>
      </c>
    </row>
    <row r="16" spans="1:11" ht="12.45" customHeight="1">
      <c r="A16" s="15" t="s">
        <v>414</v>
      </c>
      <c r="B16" s="9">
        <v>7000</v>
      </c>
      <c r="C16" s="9">
        <v>3000</v>
      </c>
      <c r="D16" s="9">
        <v>3000</v>
      </c>
      <c r="E16" s="13" t="s">
        <v>191</v>
      </c>
      <c r="F16" s="13" t="s">
        <v>220</v>
      </c>
      <c r="G16" s="13" t="s">
        <v>220</v>
      </c>
      <c r="H16" s="13" t="s">
        <v>220</v>
      </c>
      <c r="I16" s="13" t="s">
        <v>220</v>
      </c>
      <c r="J16" s="13" t="s">
        <v>220</v>
      </c>
    </row>
    <row r="17" spans="1:10" ht="24.75" customHeight="1">
      <c r="A17" s="12" t="s">
        <v>228</v>
      </c>
      <c r="B17" s="11">
        <v>1053000</v>
      </c>
      <c r="C17" s="11">
        <v>210000</v>
      </c>
      <c r="D17" s="11">
        <v>207000</v>
      </c>
      <c r="E17" s="11">
        <v>158000</v>
      </c>
      <c r="F17" s="11">
        <v>129000</v>
      </c>
      <c r="G17" s="11">
        <v>110000</v>
      </c>
      <c r="H17" s="11">
        <v>104000</v>
      </c>
      <c r="I17" s="11">
        <v>64000</v>
      </c>
      <c r="J17" s="11">
        <v>69000</v>
      </c>
    </row>
    <row r="18" spans="1:10" ht="12.45" customHeight="1">
      <c r="A18" s="15" t="s">
        <v>411</v>
      </c>
      <c r="B18" s="9">
        <v>435000</v>
      </c>
      <c r="C18" s="9">
        <v>70000</v>
      </c>
      <c r="D18" s="9">
        <v>86000</v>
      </c>
      <c r="E18" s="9">
        <v>72000</v>
      </c>
      <c r="F18" s="9">
        <v>58000</v>
      </c>
      <c r="G18" s="9">
        <v>41000</v>
      </c>
      <c r="H18" s="9">
        <v>43000</v>
      </c>
      <c r="I18" s="9">
        <v>31000</v>
      </c>
      <c r="J18" s="9">
        <v>34000</v>
      </c>
    </row>
    <row r="19" spans="1:10" ht="12.45" customHeight="1">
      <c r="A19" s="15" t="s">
        <v>412</v>
      </c>
      <c r="B19" s="9">
        <v>503000</v>
      </c>
      <c r="C19" s="9">
        <v>118000</v>
      </c>
      <c r="D19" s="9">
        <v>96000</v>
      </c>
      <c r="E19" s="9">
        <v>65000</v>
      </c>
      <c r="F19" s="9">
        <v>60000</v>
      </c>
      <c r="G19" s="9">
        <v>60000</v>
      </c>
      <c r="H19" s="9">
        <v>46000</v>
      </c>
      <c r="I19" s="9">
        <v>26000</v>
      </c>
      <c r="J19" s="9">
        <v>32000</v>
      </c>
    </row>
    <row r="20" spans="1:10" ht="12.45" customHeight="1">
      <c r="A20" s="15" t="s">
        <v>413</v>
      </c>
      <c r="B20" s="9">
        <v>93000</v>
      </c>
      <c r="C20" s="9">
        <v>20000</v>
      </c>
      <c r="D20" s="9">
        <v>17000</v>
      </c>
      <c r="E20" s="9">
        <v>19000</v>
      </c>
      <c r="F20" s="9">
        <v>10000</v>
      </c>
      <c r="G20" s="9">
        <v>6000</v>
      </c>
      <c r="H20" s="9">
        <v>12000</v>
      </c>
      <c r="I20" s="9">
        <v>7000</v>
      </c>
      <c r="J20" s="13" t="s">
        <v>191</v>
      </c>
    </row>
    <row r="21" spans="1:10" ht="12.45" customHeight="1">
      <c r="A21" s="15" t="s">
        <v>414</v>
      </c>
      <c r="B21" s="9">
        <v>22000</v>
      </c>
      <c r="C21" s="9">
        <v>3000</v>
      </c>
      <c r="D21" s="9">
        <v>9000</v>
      </c>
      <c r="E21" s="9">
        <v>2000</v>
      </c>
      <c r="F21" s="13" t="s">
        <v>191</v>
      </c>
      <c r="G21" s="13" t="s">
        <v>191</v>
      </c>
      <c r="H21" s="13" t="s">
        <v>220</v>
      </c>
      <c r="I21" s="13" t="s">
        <v>220</v>
      </c>
      <c r="J21" s="13" t="s">
        <v>220</v>
      </c>
    </row>
    <row r="22" spans="1:10" ht="12.45" customHeight="1">
      <c r="A22" s="12" t="s">
        <v>229</v>
      </c>
      <c r="B22" s="9">
        <v>135000</v>
      </c>
      <c r="C22" s="9">
        <v>34000</v>
      </c>
      <c r="D22" s="9">
        <v>39000</v>
      </c>
      <c r="E22" s="9">
        <v>26000</v>
      </c>
      <c r="F22" s="9">
        <v>10000</v>
      </c>
      <c r="G22" s="9">
        <v>9000</v>
      </c>
      <c r="H22" s="9">
        <v>5000</v>
      </c>
      <c r="I22" s="9">
        <v>6000</v>
      </c>
      <c r="J22" s="9">
        <v>5000</v>
      </c>
    </row>
    <row r="23" spans="1:10" ht="12.45" customHeight="1">
      <c r="A23" s="15" t="s">
        <v>411</v>
      </c>
      <c r="B23" s="9">
        <v>51000</v>
      </c>
      <c r="C23" s="9">
        <v>9000</v>
      </c>
      <c r="D23" s="9">
        <v>17000</v>
      </c>
      <c r="E23" s="9">
        <v>9000</v>
      </c>
      <c r="F23" s="9">
        <v>5000</v>
      </c>
      <c r="G23" s="9">
        <v>4000</v>
      </c>
      <c r="H23" s="9">
        <v>2000</v>
      </c>
      <c r="I23" s="9">
        <v>2000</v>
      </c>
      <c r="J23" s="9">
        <v>3000</v>
      </c>
    </row>
    <row r="24" spans="1:10" ht="12.45" customHeight="1">
      <c r="A24" s="15" t="s">
        <v>412</v>
      </c>
      <c r="B24" s="9">
        <v>72000</v>
      </c>
      <c r="C24" s="9">
        <v>21000</v>
      </c>
      <c r="D24" s="9">
        <v>18000</v>
      </c>
      <c r="E24" s="9">
        <v>15000</v>
      </c>
      <c r="F24" s="9">
        <v>5000</v>
      </c>
      <c r="G24" s="9">
        <v>5000</v>
      </c>
      <c r="H24" s="9">
        <v>2000</v>
      </c>
      <c r="I24" s="9">
        <v>4000</v>
      </c>
      <c r="J24" s="9">
        <v>2000</v>
      </c>
    </row>
    <row r="25" spans="1:10" ht="12.45" customHeight="1">
      <c r="A25" s="15" t="s">
        <v>413</v>
      </c>
      <c r="B25" s="9">
        <v>8000</v>
      </c>
      <c r="C25" s="9">
        <v>2000</v>
      </c>
      <c r="D25" s="13" t="s">
        <v>191</v>
      </c>
      <c r="E25" s="9">
        <v>1000</v>
      </c>
      <c r="F25" s="13" t="s">
        <v>222</v>
      </c>
      <c r="G25" s="13" t="s">
        <v>220</v>
      </c>
      <c r="H25" s="13" t="s">
        <v>191</v>
      </c>
      <c r="I25" s="13" t="s">
        <v>220</v>
      </c>
      <c r="J25" s="13" t="s">
        <v>222</v>
      </c>
    </row>
    <row r="26" spans="1:10" ht="12.45" customHeight="1">
      <c r="A26" s="15" t="s">
        <v>414</v>
      </c>
      <c r="B26" s="9">
        <v>5000</v>
      </c>
      <c r="C26" s="13" t="s">
        <v>220</v>
      </c>
      <c r="D26" s="13" t="s">
        <v>191</v>
      </c>
      <c r="E26" s="13" t="s">
        <v>191</v>
      </c>
      <c r="F26" s="13" t="s">
        <v>220</v>
      </c>
      <c r="G26" s="13" t="s">
        <v>220</v>
      </c>
      <c r="H26" s="13" t="s">
        <v>220</v>
      </c>
      <c r="I26" s="13" t="s">
        <v>220</v>
      </c>
      <c r="J26" s="13" t="s">
        <v>220</v>
      </c>
    </row>
    <row r="27" spans="1:10" ht="12.45" customHeight="1">
      <c r="A27" s="12" t="s">
        <v>230</v>
      </c>
      <c r="B27" s="9">
        <v>433000</v>
      </c>
      <c r="C27" s="9">
        <v>121000</v>
      </c>
      <c r="D27" s="9">
        <v>94000</v>
      </c>
      <c r="E27" s="9">
        <v>71000</v>
      </c>
      <c r="F27" s="9">
        <v>50000</v>
      </c>
      <c r="G27" s="9">
        <v>32000</v>
      </c>
      <c r="H27" s="9">
        <v>29000</v>
      </c>
      <c r="I27" s="9">
        <v>21000</v>
      </c>
      <c r="J27" s="9">
        <v>16000</v>
      </c>
    </row>
    <row r="28" spans="1:10" ht="12.45" customHeight="1">
      <c r="A28" s="15" t="s">
        <v>411</v>
      </c>
      <c r="B28" s="9">
        <v>188000</v>
      </c>
      <c r="C28" s="9">
        <v>51000</v>
      </c>
      <c r="D28" s="9">
        <v>39000</v>
      </c>
      <c r="E28" s="9">
        <v>28000</v>
      </c>
      <c r="F28" s="9">
        <v>21000</v>
      </c>
      <c r="G28" s="9">
        <v>17000</v>
      </c>
      <c r="H28" s="9">
        <v>10000</v>
      </c>
      <c r="I28" s="9">
        <v>9000</v>
      </c>
      <c r="J28" s="9">
        <v>12000</v>
      </c>
    </row>
    <row r="29" spans="1:10" ht="12.45" customHeight="1">
      <c r="A29" s="15" t="s">
        <v>412</v>
      </c>
      <c r="B29" s="9">
        <v>205000</v>
      </c>
      <c r="C29" s="9">
        <v>56000</v>
      </c>
      <c r="D29" s="9">
        <v>41000</v>
      </c>
      <c r="E29" s="9">
        <v>37000</v>
      </c>
      <c r="F29" s="9">
        <v>28000</v>
      </c>
      <c r="G29" s="9">
        <v>13000</v>
      </c>
      <c r="H29" s="9">
        <v>17000</v>
      </c>
      <c r="I29" s="9">
        <v>10000</v>
      </c>
      <c r="J29" s="9">
        <v>3000</v>
      </c>
    </row>
    <row r="30" spans="1:10" ht="12.45" customHeight="1">
      <c r="A30" s="15" t="s">
        <v>413</v>
      </c>
      <c r="B30" s="9">
        <v>28000</v>
      </c>
      <c r="C30" s="9">
        <v>11000</v>
      </c>
      <c r="D30" s="9">
        <v>8000</v>
      </c>
      <c r="E30" s="9">
        <v>4000</v>
      </c>
      <c r="F30" s="13" t="s">
        <v>191</v>
      </c>
      <c r="G30" s="9">
        <v>1000</v>
      </c>
      <c r="H30" s="9">
        <v>1000</v>
      </c>
      <c r="I30" s="13" t="s">
        <v>191</v>
      </c>
      <c r="J30" s="13" t="s">
        <v>220</v>
      </c>
    </row>
    <row r="31" spans="1:10" ht="12.45" customHeight="1">
      <c r="A31" s="15" t="s">
        <v>414</v>
      </c>
      <c r="B31" s="9">
        <v>12000</v>
      </c>
      <c r="C31" s="13" t="s">
        <v>191</v>
      </c>
      <c r="D31" s="13" t="s">
        <v>191</v>
      </c>
      <c r="E31" s="13" t="s">
        <v>220</v>
      </c>
      <c r="F31" s="13" t="s">
        <v>220</v>
      </c>
      <c r="G31" s="13" t="s">
        <v>220</v>
      </c>
      <c r="H31" s="13" t="s">
        <v>220</v>
      </c>
      <c r="I31" s="13" t="s">
        <v>220</v>
      </c>
      <c r="J31" s="13" t="s">
        <v>220</v>
      </c>
    </row>
    <row r="32" spans="1:10" ht="12.45" customHeight="1">
      <c r="A32" s="12" t="s">
        <v>231</v>
      </c>
      <c r="B32" s="9">
        <v>312000</v>
      </c>
      <c r="C32" s="9">
        <v>84000</v>
      </c>
      <c r="D32" s="9">
        <v>80000</v>
      </c>
      <c r="E32" s="9">
        <v>42000</v>
      </c>
      <c r="F32" s="9">
        <v>32000</v>
      </c>
      <c r="G32" s="9">
        <v>26000</v>
      </c>
      <c r="H32" s="9">
        <v>16000</v>
      </c>
      <c r="I32" s="9">
        <v>17000</v>
      </c>
      <c r="J32" s="9">
        <v>15000</v>
      </c>
    </row>
    <row r="33" spans="1:10" ht="12.45" customHeight="1">
      <c r="A33" s="15" t="s">
        <v>411</v>
      </c>
      <c r="B33" s="9">
        <v>156000</v>
      </c>
      <c r="C33" s="9">
        <v>39000</v>
      </c>
      <c r="D33" s="9">
        <v>36000</v>
      </c>
      <c r="E33" s="9">
        <v>20000</v>
      </c>
      <c r="F33" s="9">
        <v>16000</v>
      </c>
      <c r="G33" s="9">
        <v>12000</v>
      </c>
      <c r="H33" s="9">
        <v>10000</v>
      </c>
      <c r="I33" s="9">
        <v>13000</v>
      </c>
      <c r="J33" s="9">
        <v>10000</v>
      </c>
    </row>
    <row r="34" spans="1:10" ht="12.45" customHeight="1">
      <c r="A34" s="15" t="s">
        <v>412</v>
      </c>
      <c r="B34" s="9">
        <v>131000</v>
      </c>
      <c r="C34" s="9">
        <v>36000</v>
      </c>
      <c r="D34" s="9">
        <v>37000</v>
      </c>
      <c r="E34" s="9">
        <v>18000</v>
      </c>
      <c r="F34" s="9">
        <v>15000</v>
      </c>
      <c r="G34" s="9">
        <v>11000</v>
      </c>
      <c r="H34" s="9">
        <v>6000</v>
      </c>
      <c r="I34" s="9">
        <v>3000</v>
      </c>
      <c r="J34" s="9">
        <v>4000</v>
      </c>
    </row>
    <row r="35" spans="1:10" ht="12.45" customHeight="1">
      <c r="A35" s="15" t="s">
        <v>413</v>
      </c>
      <c r="B35" s="9">
        <v>17000</v>
      </c>
      <c r="C35" s="9">
        <v>6000</v>
      </c>
      <c r="D35" s="9">
        <v>5000</v>
      </c>
      <c r="E35" s="9">
        <v>2000</v>
      </c>
      <c r="F35" s="13" t="s">
        <v>191</v>
      </c>
      <c r="G35" s="9">
        <v>3000</v>
      </c>
      <c r="H35" s="13" t="s">
        <v>220</v>
      </c>
      <c r="I35" s="13" t="s">
        <v>220</v>
      </c>
      <c r="J35" s="13" t="s">
        <v>220</v>
      </c>
    </row>
    <row r="36" spans="1:10" ht="12.45" customHeight="1">
      <c r="A36" s="15" t="s">
        <v>414</v>
      </c>
      <c r="B36" s="9">
        <v>8000</v>
      </c>
      <c r="C36" s="13" t="s">
        <v>191</v>
      </c>
      <c r="D36" s="9">
        <v>2000</v>
      </c>
      <c r="E36" s="13" t="s">
        <v>191</v>
      </c>
      <c r="F36" s="13" t="s">
        <v>220</v>
      </c>
      <c r="G36" s="13" t="s">
        <v>220</v>
      </c>
      <c r="H36" s="13" t="s">
        <v>220</v>
      </c>
      <c r="I36" s="13" t="s">
        <v>220</v>
      </c>
      <c r="J36" s="13" t="s">
        <v>220</v>
      </c>
    </row>
    <row r="37" spans="1:10" ht="12.45" customHeight="1">
      <c r="A37" s="10" t="s">
        <v>175</v>
      </c>
      <c r="B37" s="9">
        <v>5494000</v>
      </c>
      <c r="C37" s="9">
        <v>1227000</v>
      </c>
      <c r="D37" s="9">
        <v>1273000</v>
      </c>
      <c r="E37" s="9">
        <v>905000</v>
      </c>
      <c r="F37" s="9">
        <v>560000</v>
      </c>
      <c r="G37" s="9">
        <v>487000</v>
      </c>
      <c r="H37" s="9">
        <v>345000</v>
      </c>
      <c r="I37" s="9">
        <v>234000</v>
      </c>
      <c r="J37" s="9">
        <v>463000</v>
      </c>
    </row>
    <row r="38" spans="1:10" ht="12.45" customHeight="1">
      <c r="A38" s="12" t="s">
        <v>411</v>
      </c>
      <c r="B38" s="9">
        <v>2403000</v>
      </c>
      <c r="C38" s="9">
        <v>438000</v>
      </c>
      <c r="D38" s="9">
        <v>533000</v>
      </c>
      <c r="E38" s="9">
        <v>417000</v>
      </c>
      <c r="F38" s="9">
        <v>225000</v>
      </c>
      <c r="G38" s="9">
        <v>225000</v>
      </c>
      <c r="H38" s="9">
        <v>174000</v>
      </c>
      <c r="I38" s="9">
        <v>109000</v>
      </c>
      <c r="J38" s="9">
        <v>283000</v>
      </c>
    </row>
    <row r="39" spans="1:10" ht="12.45" customHeight="1">
      <c r="A39" s="12" t="s">
        <v>412</v>
      </c>
      <c r="B39" s="9">
        <v>2538000</v>
      </c>
      <c r="C39" s="9">
        <v>597000</v>
      </c>
      <c r="D39" s="9">
        <v>609000</v>
      </c>
      <c r="E39" s="9">
        <v>405000</v>
      </c>
      <c r="F39" s="9">
        <v>279000</v>
      </c>
      <c r="G39" s="9">
        <v>227000</v>
      </c>
      <c r="H39" s="9">
        <v>155000</v>
      </c>
      <c r="I39" s="9">
        <v>112000</v>
      </c>
      <c r="J39" s="9">
        <v>154000</v>
      </c>
    </row>
    <row r="40" spans="1:10" ht="12.45" customHeight="1">
      <c r="A40" s="12" t="s">
        <v>413</v>
      </c>
      <c r="B40" s="9">
        <v>418000</v>
      </c>
      <c r="C40" s="9">
        <v>133000</v>
      </c>
      <c r="D40" s="9">
        <v>103000</v>
      </c>
      <c r="E40" s="9">
        <v>71000</v>
      </c>
      <c r="F40" s="9">
        <v>48000</v>
      </c>
      <c r="G40" s="9">
        <v>21000</v>
      </c>
      <c r="H40" s="9">
        <v>13000</v>
      </c>
      <c r="I40" s="9">
        <v>8000</v>
      </c>
      <c r="J40" s="9">
        <v>21000</v>
      </c>
    </row>
    <row r="41" spans="1:10" ht="12.45" customHeight="1">
      <c r="A41" s="12" t="s">
        <v>414</v>
      </c>
      <c r="B41" s="9">
        <v>135000</v>
      </c>
      <c r="C41" s="9">
        <v>59000</v>
      </c>
      <c r="D41" s="9">
        <v>28000</v>
      </c>
      <c r="E41" s="9">
        <v>12000</v>
      </c>
      <c r="F41" s="13" t="s">
        <v>191</v>
      </c>
      <c r="G41" s="9">
        <v>15000</v>
      </c>
      <c r="H41" s="13" t="s">
        <v>220</v>
      </c>
      <c r="I41" s="13" t="s">
        <v>191</v>
      </c>
      <c r="J41" s="13" t="s">
        <v>220</v>
      </c>
    </row>
    <row r="42" spans="1:10" ht="12.45" customHeight="1">
      <c r="A42" s="10" t="s">
        <v>176</v>
      </c>
      <c r="B42" s="9">
        <v>18699000</v>
      </c>
      <c r="C42" s="9">
        <v>2751000</v>
      </c>
      <c r="D42" s="9">
        <v>3692000</v>
      </c>
      <c r="E42" s="9">
        <v>3031000</v>
      </c>
      <c r="F42" s="9">
        <v>2410000</v>
      </c>
      <c r="G42" s="9">
        <v>1892000</v>
      </c>
      <c r="H42" s="9">
        <v>1665000</v>
      </c>
      <c r="I42" s="9">
        <v>1251000</v>
      </c>
      <c r="J42" s="9">
        <v>2007000</v>
      </c>
    </row>
    <row r="43" spans="1:10" ht="12.45" customHeight="1">
      <c r="A43" s="12" t="s">
        <v>411</v>
      </c>
      <c r="B43" s="9">
        <v>7837000</v>
      </c>
      <c r="C43" s="9">
        <v>1009000</v>
      </c>
      <c r="D43" s="9">
        <v>1343000</v>
      </c>
      <c r="E43" s="9">
        <v>1208000</v>
      </c>
      <c r="F43" s="9">
        <v>993000</v>
      </c>
      <c r="G43" s="9">
        <v>829000</v>
      </c>
      <c r="H43" s="9">
        <v>792000</v>
      </c>
      <c r="I43" s="9">
        <v>586000</v>
      </c>
      <c r="J43" s="9">
        <v>1077000</v>
      </c>
    </row>
    <row r="44" spans="1:10" ht="12.45" customHeight="1">
      <c r="A44" s="12" t="s">
        <v>412</v>
      </c>
      <c r="B44" s="9">
        <v>8610000</v>
      </c>
      <c r="C44" s="9">
        <v>1257000</v>
      </c>
      <c r="D44" s="9">
        <v>1767000</v>
      </c>
      <c r="E44" s="9">
        <v>1417000</v>
      </c>
      <c r="F44" s="9">
        <v>1198000</v>
      </c>
      <c r="G44" s="9">
        <v>932000</v>
      </c>
      <c r="H44" s="9">
        <v>740000</v>
      </c>
      <c r="I44" s="9">
        <v>521000</v>
      </c>
      <c r="J44" s="9">
        <v>779000</v>
      </c>
    </row>
    <row r="45" spans="1:10" ht="12.45" customHeight="1">
      <c r="A45" s="12" t="s">
        <v>413</v>
      </c>
      <c r="B45" s="9">
        <v>1711000</v>
      </c>
      <c r="C45" s="9">
        <v>369000</v>
      </c>
      <c r="D45" s="9">
        <v>436000</v>
      </c>
      <c r="E45" s="9">
        <v>302000</v>
      </c>
      <c r="F45" s="9">
        <v>163000</v>
      </c>
      <c r="G45" s="9">
        <v>98000</v>
      </c>
      <c r="H45" s="9">
        <v>104000</v>
      </c>
      <c r="I45" s="9">
        <v>122000</v>
      </c>
      <c r="J45" s="9">
        <v>117000</v>
      </c>
    </row>
    <row r="46" spans="1:10" ht="12.45" customHeight="1">
      <c r="A46" s="12" t="s">
        <v>414</v>
      </c>
      <c r="B46" s="9">
        <v>541000</v>
      </c>
      <c r="C46" s="9">
        <v>116000</v>
      </c>
      <c r="D46" s="9">
        <v>146000</v>
      </c>
      <c r="E46" s="9">
        <v>105000</v>
      </c>
      <c r="F46" s="9">
        <v>56000</v>
      </c>
      <c r="G46" s="9">
        <v>33000</v>
      </c>
      <c r="H46" s="9">
        <v>28000</v>
      </c>
      <c r="I46" s="9">
        <v>23000</v>
      </c>
      <c r="J46" s="9">
        <v>34000</v>
      </c>
    </row>
    <row r="47" spans="1:10" ht="12.45" customHeight="1">
      <c r="A47" s="8" t="s">
        <v>283</v>
      </c>
      <c r="B47" s="9">
        <v>25271000</v>
      </c>
      <c r="C47" s="9">
        <v>3492000</v>
      </c>
      <c r="D47" s="9">
        <v>4469000</v>
      </c>
      <c r="E47" s="9">
        <v>3684000</v>
      </c>
      <c r="F47" s="9">
        <v>3124000</v>
      </c>
      <c r="G47" s="9">
        <v>2558000</v>
      </c>
      <c r="H47" s="9">
        <v>2289000</v>
      </c>
      <c r="I47" s="9">
        <v>1930000</v>
      </c>
      <c r="J47" s="9">
        <v>3723000</v>
      </c>
    </row>
    <row r="48" spans="1:10" ht="12.45" customHeight="1">
      <c r="A48" s="10" t="s">
        <v>411</v>
      </c>
      <c r="B48" s="9">
        <v>11574000</v>
      </c>
      <c r="C48" s="9">
        <v>1299000</v>
      </c>
      <c r="D48" s="9">
        <v>1811000</v>
      </c>
      <c r="E48" s="9">
        <v>1566000</v>
      </c>
      <c r="F48" s="9">
        <v>1415000</v>
      </c>
      <c r="G48" s="9">
        <v>1295000</v>
      </c>
      <c r="H48" s="9">
        <v>1095000</v>
      </c>
      <c r="I48" s="9">
        <v>991000</v>
      </c>
      <c r="J48" s="9">
        <v>2101000</v>
      </c>
    </row>
    <row r="49" spans="1:10" ht="12.45" customHeight="1">
      <c r="A49" s="10" t="s">
        <v>412</v>
      </c>
      <c r="B49" s="9">
        <v>11104000</v>
      </c>
      <c r="C49" s="9">
        <v>1632000</v>
      </c>
      <c r="D49" s="9">
        <v>2107000</v>
      </c>
      <c r="E49" s="9">
        <v>1661000</v>
      </c>
      <c r="F49" s="9">
        <v>1428000</v>
      </c>
      <c r="G49" s="9">
        <v>1079000</v>
      </c>
      <c r="H49" s="9">
        <v>1006000</v>
      </c>
      <c r="I49" s="9">
        <v>784000</v>
      </c>
      <c r="J49" s="9">
        <v>1407000</v>
      </c>
    </row>
    <row r="50" spans="1:10" ht="12.45" customHeight="1">
      <c r="A50" s="10" t="s">
        <v>413</v>
      </c>
      <c r="B50" s="9">
        <v>2086000</v>
      </c>
      <c r="C50" s="9">
        <v>453000</v>
      </c>
      <c r="D50" s="9">
        <v>431000</v>
      </c>
      <c r="E50" s="9">
        <v>365000</v>
      </c>
      <c r="F50" s="9">
        <v>223000</v>
      </c>
      <c r="G50" s="9">
        <v>155000</v>
      </c>
      <c r="H50" s="9">
        <v>170000</v>
      </c>
      <c r="I50" s="9">
        <v>122000</v>
      </c>
      <c r="J50" s="9">
        <v>167000</v>
      </c>
    </row>
    <row r="51" spans="1:10" ht="12.45" customHeight="1">
      <c r="A51" s="10" t="s">
        <v>414</v>
      </c>
      <c r="B51" s="9">
        <v>507000</v>
      </c>
      <c r="C51" s="9">
        <v>108000</v>
      </c>
      <c r="D51" s="9">
        <v>120000</v>
      </c>
      <c r="E51" s="9">
        <v>92000</v>
      </c>
      <c r="F51" s="9">
        <v>59000</v>
      </c>
      <c r="G51" s="9">
        <v>29000</v>
      </c>
      <c r="H51" s="9">
        <v>18000</v>
      </c>
      <c r="I51" s="9">
        <v>33000</v>
      </c>
      <c r="J51" s="9">
        <v>49000</v>
      </c>
    </row>
    <row r="52" spans="1:10" ht="12.45" customHeight="1">
      <c r="A52" s="10" t="s">
        <v>174</v>
      </c>
      <c r="B52" s="9">
        <v>5594000</v>
      </c>
      <c r="C52" s="9">
        <v>1028000</v>
      </c>
      <c r="D52" s="9">
        <v>1218000</v>
      </c>
      <c r="E52" s="9">
        <v>846000</v>
      </c>
      <c r="F52" s="9">
        <v>647000</v>
      </c>
      <c r="G52" s="9">
        <v>561000</v>
      </c>
      <c r="H52" s="9">
        <v>424000</v>
      </c>
      <c r="I52" s="9">
        <v>371000</v>
      </c>
      <c r="J52" s="9">
        <v>498000</v>
      </c>
    </row>
  </sheetData>
  <mergeCells count="4">
    <mergeCell ref="A1:K1"/>
    <mergeCell ref="A3:A4"/>
    <mergeCell ref="B3:B4"/>
    <mergeCell ref="C3:J3"/>
  </mergeCell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0" tint="-0.249977111117893"/>
  </sheetPr>
  <dimension ref="A1:K45"/>
  <sheetViews>
    <sheetView workbookViewId="0">
      <selection sqref="A1:Z1"/>
    </sheetView>
  </sheetViews>
  <sheetFormatPr defaultRowHeight="13.2"/>
  <cols>
    <col min="1" max="1" width="34" customWidth="1"/>
    <col min="2" max="2" width="11.109375" customWidth="1"/>
    <col min="3" max="9" width="10" customWidth="1"/>
    <col min="10" max="10" width="10.109375" customWidth="1"/>
    <col min="11" max="11" width="2.44140625" customWidth="1"/>
  </cols>
  <sheetData>
    <row r="1" spans="1:11" ht="42.75" customHeight="1">
      <c r="A1" s="321" t="s">
        <v>421</v>
      </c>
      <c r="B1" s="321"/>
      <c r="C1" s="321"/>
      <c r="D1" s="321"/>
      <c r="E1" s="321"/>
      <c r="F1" s="321"/>
      <c r="G1" s="321"/>
      <c r="H1" s="321"/>
      <c r="I1" s="321"/>
      <c r="J1" s="321"/>
      <c r="K1" s="321"/>
    </row>
    <row r="2" spans="1:11" ht="13.95" customHeight="1">
      <c r="A2" s="339" t="s">
        <v>418</v>
      </c>
      <c r="B2" s="347" t="s">
        <v>167</v>
      </c>
      <c r="C2" s="330" t="s">
        <v>422</v>
      </c>
      <c r="D2" s="331"/>
      <c r="E2" s="331"/>
      <c r="F2" s="331"/>
      <c r="G2" s="331"/>
      <c r="H2" s="331"/>
      <c r="I2" s="331"/>
      <c r="J2" s="332"/>
    </row>
    <row r="3" spans="1:11" ht="13.95" customHeight="1">
      <c r="A3" s="341"/>
      <c r="B3" s="348"/>
      <c r="C3" s="23" t="s">
        <v>423</v>
      </c>
      <c r="D3" s="60" t="s">
        <v>424</v>
      </c>
      <c r="E3" s="61" t="s">
        <v>425</v>
      </c>
      <c r="F3" s="61" t="s">
        <v>426</v>
      </c>
      <c r="G3" s="61" t="s">
        <v>427</v>
      </c>
      <c r="H3" s="61" t="s">
        <v>428</v>
      </c>
      <c r="I3" s="61" t="s">
        <v>429</v>
      </c>
      <c r="J3" s="60" t="s">
        <v>430</v>
      </c>
    </row>
    <row r="4" spans="1:11" ht="12.45" customHeight="1">
      <c r="A4" s="18" t="s">
        <v>411</v>
      </c>
      <c r="B4" s="7">
        <v>2504000</v>
      </c>
      <c r="C4" s="7">
        <v>413000</v>
      </c>
      <c r="D4" s="7">
        <v>516000</v>
      </c>
      <c r="E4" s="7">
        <v>348000</v>
      </c>
      <c r="F4" s="7">
        <v>301000</v>
      </c>
      <c r="G4" s="7">
        <v>267000</v>
      </c>
      <c r="H4" s="7">
        <v>193000</v>
      </c>
      <c r="I4" s="7">
        <v>198000</v>
      </c>
      <c r="J4" s="7">
        <v>268000</v>
      </c>
    </row>
    <row r="5" spans="1:11" ht="12.45" customHeight="1">
      <c r="A5" s="12" t="s">
        <v>412</v>
      </c>
      <c r="B5" s="9">
        <v>2573000</v>
      </c>
      <c r="C5" s="9">
        <v>484000</v>
      </c>
      <c r="D5" s="9">
        <v>571000</v>
      </c>
      <c r="E5" s="9">
        <v>413000</v>
      </c>
      <c r="F5" s="9">
        <v>295000</v>
      </c>
      <c r="G5" s="9">
        <v>255000</v>
      </c>
      <c r="H5" s="9">
        <v>200000</v>
      </c>
      <c r="I5" s="9">
        <v>151000</v>
      </c>
      <c r="J5" s="9">
        <v>205000</v>
      </c>
    </row>
    <row r="6" spans="1:11" ht="12.45" customHeight="1">
      <c r="A6" s="12" t="s">
        <v>413</v>
      </c>
      <c r="B6" s="9">
        <v>437000</v>
      </c>
      <c r="C6" s="9">
        <v>106000</v>
      </c>
      <c r="D6" s="9">
        <v>106000</v>
      </c>
      <c r="E6" s="9">
        <v>75000</v>
      </c>
      <c r="F6" s="9">
        <v>48000</v>
      </c>
      <c r="G6" s="9">
        <v>35000</v>
      </c>
      <c r="H6" s="9">
        <v>26000</v>
      </c>
      <c r="I6" s="9">
        <v>19000</v>
      </c>
      <c r="J6" s="9">
        <v>22000</v>
      </c>
    </row>
    <row r="7" spans="1:11" ht="12.45" customHeight="1">
      <c r="A7" s="12" t="s">
        <v>414</v>
      </c>
      <c r="B7" s="9">
        <v>79000</v>
      </c>
      <c r="C7" s="9">
        <v>26000</v>
      </c>
      <c r="D7" s="9">
        <v>25000</v>
      </c>
      <c r="E7" s="9">
        <v>10000</v>
      </c>
      <c r="F7" s="9">
        <v>3000</v>
      </c>
      <c r="G7" s="9">
        <v>4000</v>
      </c>
      <c r="H7" s="9">
        <v>5000</v>
      </c>
      <c r="I7" s="13" t="s">
        <v>191</v>
      </c>
      <c r="J7" s="9">
        <v>3000</v>
      </c>
    </row>
    <row r="8" spans="1:11" ht="24.75" customHeight="1">
      <c r="A8" s="12" t="s">
        <v>227</v>
      </c>
      <c r="B8" s="11">
        <v>427000</v>
      </c>
      <c r="C8" s="11">
        <v>106000</v>
      </c>
      <c r="D8" s="11">
        <v>100000</v>
      </c>
      <c r="E8" s="11">
        <v>54000</v>
      </c>
      <c r="F8" s="11">
        <v>29000</v>
      </c>
      <c r="G8" s="11">
        <v>44000</v>
      </c>
      <c r="H8" s="11">
        <v>24000</v>
      </c>
      <c r="I8" s="11">
        <v>29000</v>
      </c>
      <c r="J8" s="11">
        <v>39000</v>
      </c>
    </row>
    <row r="9" spans="1:11" ht="12.45" customHeight="1">
      <c r="A9" s="15" t="s">
        <v>411</v>
      </c>
      <c r="B9" s="9">
        <v>186000</v>
      </c>
      <c r="C9" s="9">
        <v>49000</v>
      </c>
      <c r="D9" s="9">
        <v>34000</v>
      </c>
      <c r="E9" s="9">
        <v>19000</v>
      </c>
      <c r="F9" s="9">
        <v>10000</v>
      </c>
      <c r="G9" s="9">
        <v>22000</v>
      </c>
      <c r="H9" s="9">
        <v>10000</v>
      </c>
      <c r="I9" s="9">
        <v>16000</v>
      </c>
      <c r="J9" s="9">
        <v>25000</v>
      </c>
    </row>
    <row r="10" spans="1:11" ht="12.45" customHeight="1">
      <c r="A10" s="15" t="s">
        <v>412</v>
      </c>
      <c r="B10" s="9">
        <v>204000</v>
      </c>
      <c r="C10" s="9">
        <v>50000</v>
      </c>
      <c r="D10" s="9">
        <v>53000</v>
      </c>
      <c r="E10" s="9">
        <v>27000</v>
      </c>
      <c r="F10" s="9">
        <v>17000</v>
      </c>
      <c r="G10" s="9">
        <v>20000</v>
      </c>
      <c r="H10" s="9">
        <v>12000</v>
      </c>
      <c r="I10" s="9">
        <v>11000</v>
      </c>
      <c r="J10" s="9">
        <v>13000</v>
      </c>
    </row>
    <row r="11" spans="1:11" ht="12.45" customHeight="1">
      <c r="A11" s="15" t="s">
        <v>413</v>
      </c>
      <c r="B11" s="9">
        <v>31000</v>
      </c>
      <c r="C11" s="9">
        <v>5000</v>
      </c>
      <c r="D11" s="9">
        <v>11000</v>
      </c>
      <c r="E11" s="9">
        <v>8000</v>
      </c>
      <c r="F11" s="9">
        <v>1000</v>
      </c>
      <c r="G11" s="13" t="s">
        <v>191</v>
      </c>
      <c r="H11" s="9">
        <v>1000</v>
      </c>
      <c r="I11" s="9">
        <v>3000</v>
      </c>
      <c r="J11" s="13" t="s">
        <v>191</v>
      </c>
    </row>
    <row r="12" spans="1:11" ht="12.45" customHeight="1">
      <c r="A12" s="15" t="s">
        <v>414</v>
      </c>
      <c r="B12" s="9">
        <v>5000</v>
      </c>
      <c r="C12" s="13" t="s">
        <v>191</v>
      </c>
      <c r="D12" s="9">
        <v>1000</v>
      </c>
      <c r="E12" s="13" t="s">
        <v>191</v>
      </c>
      <c r="F12" s="13" t="s">
        <v>222</v>
      </c>
      <c r="G12" s="13" t="s">
        <v>220</v>
      </c>
      <c r="H12" s="13" t="s">
        <v>220</v>
      </c>
      <c r="I12" s="13" t="s">
        <v>220</v>
      </c>
      <c r="J12" s="13" t="s">
        <v>220</v>
      </c>
    </row>
    <row r="13" spans="1:11" ht="24.75" customHeight="1">
      <c r="A13" s="12" t="s">
        <v>228</v>
      </c>
      <c r="B13" s="11">
        <v>2979000</v>
      </c>
      <c r="C13" s="11">
        <v>505000</v>
      </c>
      <c r="D13" s="11">
        <v>653000</v>
      </c>
      <c r="E13" s="11">
        <v>497000</v>
      </c>
      <c r="F13" s="11">
        <v>395000</v>
      </c>
      <c r="G13" s="11">
        <v>313000</v>
      </c>
      <c r="H13" s="11">
        <v>224000</v>
      </c>
      <c r="I13" s="11">
        <v>189000</v>
      </c>
      <c r="J13" s="11">
        <v>202000</v>
      </c>
    </row>
    <row r="14" spans="1:11" ht="12.45" customHeight="1">
      <c r="A14" s="15" t="s">
        <v>411</v>
      </c>
      <c r="B14" s="9">
        <v>1301000</v>
      </c>
      <c r="C14" s="9">
        <v>199000</v>
      </c>
      <c r="D14" s="9">
        <v>281000</v>
      </c>
      <c r="E14" s="9">
        <v>204000</v>
      </c>
      <c r="F14" s="9">
        <v>183000</v>
      </c>
      <c r="G14" s="9">
        <v>147000</v>
      </c>
      <c r="H14" s="9">
        <v>97000</v>
      </c>
      <c r="I14" s="9">
        <v>93000</v>
      </c>
      <c r="J14" s="9">
        <v>97000</v>
      </c>
    </row>
    <row r="15" spans="1:11" ht="12.45" customHeight="1">
      <c r="A15" s="15" t="s">
        <v>412</v>
      </c>
      <c r="B15" s="9">
        <v>1394000</v>
      </c>
      <c r="C15" s="9">
        <v>239000</v>
      </c>
      <c r="D15" s="9">
        <v>293000</v>
      </c>
      <c r="E15" s="9">
        <v>247000</v>
      </c>
      <c r="F15" s="9">
        <v>180000</v>
      </c>
      <c r="G15" s="9">
        <v>145000</v>
      </c>
      <c r="H15" s="9">
        <v>111000</v>
      </c>
      <c r="I15" s="9">
        <v>85000</v>
      </c>
      <c r="J15" s="9">
        <v>94000</v>
      </c>
    </row>
    <row r="16" spans="1:11" ht="12.45" customHeight="1">
      <c r="A16" s="15" t="s">
        <v>413</v>
      </c>
      <c r="B16" s="9">
        <v>238000</v>
      </c>
      <c r="C16" s="9">
        <v>53000</v>
      </c>
      <c r="D16" s="9">
        <v>59000</v>
      </c>
      <c r="E16" s="9">
        <v>41000</v>
      </c>
      <c r="F16" s="9">
        <v>30000</v>
      </c>
      <c r="G16" s="9">
        <v>20000</v>
      </c>
      <c r="H16" s="9">
        <v>14000</v>
      </c>
      <c r="I16" s="9">
        <v>9000</v>
      </c>
      <c r="J16" s="9">
        <v>11000</v>
      </c>
    </row>
    <row r="17" spans="1:10" ht="12.45" customHeight="1">
      <c r="A17" s="15" t="s">
        <v>414</v>
      </c>
      <c r="B17" s="9">
        <v>46000</v>
      </c>
      <c r="C17" s="9">
        <v>14000</v>
      </c>
      <c r="D17" s="9">
        <v>19000</v>
      </c>
      <c r="E17" s="9">
        <v>4000</v>
      </c>
      <c r="F17" s="9">
        <v>2000</v>
      </c>
      <c r="G17" s="13" t="s">
        <v>191</v>
      </c>
      <c r="H17" s="13" t="s">
        <v>191</v>
      </c>
      <c r="I17" s="13" t="s">
        <v>220</v>
      </c>
      <c r="J17" s="13" t="s">
        <v>220</v>
      </c>
    </row>
    <row r="18" spans="1:10" ht="12.45" customHeight="1">
      <c r="A18" s="12" t="s">
        <v>229</v>
      </c>
      <c r="B18" s="9">
        <v>273000</v>
      </c>
      <c r="C18" s="9">
        <v>58000</v>
      </c>
      <c r="D18" s="9">
        <v>53000</v>
      </c>
      <c r="E18" s="9">
        <v>34000</v>
      </c>
      <c r="F18" s="9">
        <v>24000</v>
      </c>
      <c r="G18" s="9">
        <v>27000</v>
      </c>
      <c r="H18" s="9">
        <v>27000</v>
      </c>
      <c r="I18" s="9">
        <v>22000</v>
      </c>
      <c r="J18" s="9">
        <v>28000</v>
      </c>
    </row>
    <row r="19" spans="1:10" ht="12.45" customHeight="1">
      <c r="A19" s="15" t="s">
        <v>411</v>
      </c>
      <c r="B19" s="9">
        <v>115000</v>
      </c>
      <c r="C19" s="9">
        <v>22000</v>
      </c>
      <c r="D19" s="9">
        <v>18000</v>
      </c>
      <c r="E19" s="9">
        <v>13000</v>
      </c>
      <c r="F19" s="9">
        <v>9000</v>
      </c>
      <c r="G19" s="9">
        <v>13000</v>
      </c>
      <c r="H19" s="9">
        <v>13000</v>
      </c>
      <c r="I19" s="9">
        <v>12000</v>
      </c>
      <c r="J19" s="9">
        <v>15000</v>
      </c>
    </row>
    <row r="20" spans="1:10" ht="12.45" customHeight="1">
      <c r="A20" s="15" t="s">
        <v>412</v>
      </c>
      <c r="B20" s="9">
        <v>130000</v>
      </c>
      <c r="C20" s="9">
        <v>30000</v>
      </c>
      <c r="D20" s="9">
        <v>31000</v>
      </c>
      <c r="E20" s="9">
        <v>17000</v>
      </c>
      <c r="F20" s="9">
        <v>11000</v>
      </c>
      <c r="G20" s="9">
        <v>11000</v>
      </c>
      <c r="H20" s="9">
        <v>11000</v>
      </c>
      <c r="I20" s="9">
        <v>8000</v>
      </c>
      <c r="J20" s="9">
        <v>10000</v>
      </c>
    </row>
    <row r="21" spans="1:10" ht="12.45" customHeight="1">
      <c r="A21" s="15" t="s">
        <v>413</v>
      </c>
      <c r="B21" s="9">
        <v>25000</v>
      </c>
      <c r="C21" s="9">
        <v>5000</v>
      </c>
      <c r="D21" s="9">
        <v>4000</v>
      </c>
      <c r="E21" s="9">
        <v>4000</v>
      </c>
      <c r="F21" s="9">
        <v>4000</v>
      </c>
      <c r="G21" s="13" t="s">
        <v>191</v>
      </c>
      <c r="H21" s="9">
        <v>3000</v>
      </c>
      <c r="I21" s="13" t="s">
        <v>191</v>
      </c>
      <c r="J21" s="9">
        <v>2000</v>
      </c>
    </row>
    <row r="22" spans="1:10" ht="12.45" customHeight="1">
      <c r="A22" s="15" t="s">
        <v>414</v>
      </c>
      <c r="B22" s="9">
        <v>3000</v>
      </c>
      <c r="C22" s="9">
        <v>1000</v>
      </c>
      <c r="D22" s="9">
        <v>1000</v>
      </c>
      <c r="E22" s="13" t="s">
        <v>222</v>
      </c>
      <c r="F22" s="13" t="s">
        <v>220</v>
      </c>
      <c r="G22" s="13" t="s">
        <v>220</v>
      </c>
      <c r="H22" s="13" t="s">
        <v>222</v>
      </c>
      <c r="I22" s="13" t="s">
        <v>220</v>
      </c>
      <c r="J22" s="13" t="s">
        <v>220</v>
      </c>
    </row>
    <row r="23" spans="1:10" ht="12.45" customHeight="1">
      <c r="A23" s="12" t="s">
        <v>230</v>
      </c>
      <c r="B23" s="9">
        <v>279000</v>
      </c>
      <c r="C23" s="9">
        <v>61000</v>
      </c>
      <c r="D23" s="9">
        <v>64000</v>
      </c>
      <c r="E23" s="9">
        <v>35000</v>
      </c>
      <c r="F23" s="9">
        <v>23000</v>
      </c>
      <c r="G23" s="9">
        <v>25000</v>
      </c>
      <c r="H23" s="9">
        <v>12000</v>
      </c>
      <c r="I23" s="9">
        <v>22000</v>
      </c>
      <c r="J23" s="9">
        <v>37000</v>
      </c>
    </row>
    <row r="24" spans="1:10" ht="12.45" customHeight="1">
      <c r="A24" s="15" t="s">
        <v>411</v>
      </c>
      <c r="B24" s="9">
        <v>147000</v>
      </c>
      <c r="C24" s="9">
        <v>26000</v>
      </c>
      <c r="D24" s="9">
        <v>31000</v>
      </c>
      <c r="E24" s="9">
        <v>14000</v>
      </c>
      <c r="F24" s="9">
        <v>9000</v>
      </c>
      <c r="G24" s="9">
        <v>14000</v>
      </c>
      <c r="H24" s="9">
        <v>8000</v>
      </c>
      <c r="I24" s="9">
        <v>18000</v>
      </c>
      <c r="J24" s="9">
        <v>27000</v>
      </c>
    </row>
    <row r="25" spans="1:10" ht="12.45" customHeight="1">
      <c r="A25" s="15" t="s">
        <v>412</v>
      </c>
      <c r="B25" s="9">
        <v>108000</v>
      </c>
      <c r="C25" s="9">
        <v>25000</v>
      </c>
      <c r="D25" s="9">
        <v>28000</v>
      </c>
      <c r="E25" s="9">
        <v>16000</v>
      </c>
      <c r="F25" s="9">
        <v>12000</v>
      </c>
      <c r="G25" s="9">
        <v>10000</v>
      </c>
      <c r="H25" s="9">
        <v>4000</v>
      </c>
      <c r="I25" s="9">
        <v>4000</v>
      </c>
      <c r="J25" s="9">
        <v>9000</v>
      </c>
    </row>
    <row r="26" spans="1:10" ht="12.45" customHeight="1">
      <c r="A26" s="15" t="s">
        <v>413</v>
      </c>
      <c r="B26" s="9">
        <v>22000</v>
      </c>
      <c r="C26" s="9">
        <v>9000</v>
      </c>
      <c r="D26" s="13" t="s">
        <v>191</v>
      </c>
      <c r="E26" s="13" t="s">
        <v>191</v>
      </c>
      <c r="F26" s="9">
        <v>2000</v>
      </c>
      <c r="G26" s="13" t="s">
        <v>191</v>
      </c>
      <c r="H26" s="13" t="s">
        <v>191</v>
      </c>
      <c r="I26" s="13" t="s">
        <v>220</v>
      </c>
      <c r="J26" s="13" t="s">
        <v>220</v>
      </c>
    </row>
    <row r="27" spans="1:10" ht="12.45" customHeight="1">
      <c r="A27" s="15" t="s">
        <v>414</v>
      </c>
      <c r="B27" s="9">
        <v>2000</v>
      </c>
      <c r="C27" s="9">
        <v>1000</v>
      </c>
      <c r="D27" s="13" t="s">
        <v>220</v>
      </c>
      <c r="E27" s="13" t="s">
        <v>220</v>
      </c>
      <c r="F27" s="13" t="s">
        <v>220</v>
      </c>
      <c r="G27" s="13" t="s">
        <v>220</v>
      </c>
      <c r="H27" s="13" t="s">
        <v>220</v>
      </c>
      <c r="I27" s="13" t="s">
        <v>220</v>
      </c>
      <c r="J27" s="13" t="s">
        <v>220</v>
      </c>
    </row>
    <row r="28" spans="1:10" ht="12.45" customHeight="1">
      <c r="A28" s="12" t="s">
        <v>231</v>
      </c>
      <c r="B28" s="9">
        <v>1636000</v>
      </c>
      <c r="C28" s="9">
        <v>297000</v>
      </c>
      <c r="D28" s="9">
        <v>348000</v>
      </c>
      <c r="E28" s="9">
        <v>226000</v>
      </c>
      <c r="F28" s="9">
        <v>175000</v>
      </c>
      <c r="G28" s="9">
        <v>151000</v>
      </c>
      <c r="H28" s="9">
        <v>137000</v>
      </c>
      <c r="I28" s="9">
        <v>109000</v>
      </c>
      <c r="J28" s="9">
        <v>192000</v>
      </c>
    </row>
    <row r="29" spans="1:10" ht="12.45" customHeight="1">
      <c r="A29" s="15" t="s">
        <v>411</v>
      </c>
      <c r="B29" s="9">
        <v>755000</v>
      </c>
      <c r="C29" s="9">
        <v>117000</v>
      </c>
      <c r="D29" s="9">
        <v>152000</v>
      </c>
      <c r="E29" s="9">
        <v>97000</v>
      </c>
      <c r="F29" s="9">
        <v>90000</v>
      </c>
      <c r="G29" s="9">
        <v>71000</v>
      </c>
      <c r="H29" s="9">
        <v>65000</v>
      </c>
      <c r="I29" s="9">
        <v>60000</v>
      </c>
      <c r="J29" s="9">
        <v>103000</v>
      </c>
    </row>
    <row r="30" spans="1:10" ht="12.45" customHeight="1">
      <c r="A30" s="15" t="s">
        <v>412</v>
      </c>
      <c r="B30" s="9">
        <v>738000</v>
      </c>
      <c r="C30" s="9">
        <v>139000</v>
      </c>
      <c r="D30" s="9">
        <v>165000</v>
      </c>
      <c r="E30" s="9">
        <v>105000</v>
      </c>
      <c r="F30" s="9">
        <v>75000</v>
      </c>
      <c r="G30" s="9">
        <v>70000</v>
      </c>
      <c r="H30" s="9">
        <v>62000</v>
      </c>
      <c r="I30" s="9">
        <v>43000</v>
      </c>
      <c r="J30" s="9">
        <v>79000</v>
      </c>
    </row>
    <row r="31" spans="1:10" ht="12.45" customHeight="1">
      <c r="A31" s="15" t="s">
        <v>413</v>
      </c>
      <c r="B31" s="9">
        <v>120000</v>
      </c>
      <c r="C31" s="9">
        <v>33000</v>
      </c>
      <c r="D31" s="9">
        <v>28000</v>
      </c>
      <c r="E31" s="9">
        <v>18000</v>
      </c>
      <c r="F31" s="9">
        <v>10000</v>
      </c>
      <c r="G31" s="9">
        <v>9000</v>
      </c>
      <c r="H31" s="9">
        <v>8000</v>
      </c>
      <c r="I31" s="9">
        <v>6000</v>
      </c>
      <c r="J31" s="9">
        <v>8000</v>
      </c>
    </row>
    <row r="32" spans="1:10" ht="12.45" customHeight="1">
      <c r="A32" s="15" t="s">
        <v>414</v>
      </c>
      <c r="B32" s="9">
        <v>23000</v>
      </c>
      <c r="C32" s="9">
        <v>8000</v>
      </c>
      <c r="D32" s="9">
        <v>3000</v>
      </c>
      <c r="E32" s="9">
        <v>5000</v>
      </c>
      <c r="F32" s="13" t="s">
        <v>222</v>
      </c>
      <c r="G32" s="9">
        <v>1000</v>
      </c>
      <c r="H32" s="9">
        <v>3000</v>
      </c>
      <c r="I32" s="13" t="s">
        <v>222</v>
      </c>
      <c r="J32" s="13" t="s">
        <v>191</v>
      </c>
    </row>
    <row r="33" spans="1:11" ht="12.45" customHeight="1">
      <c r="A33" s="10" t="s">
        <v>175</v>
      </c>
      <c r="B33" s="9">
        <v>4028000</v>
      </c>
      <c r="C33" s="9">
        <v>635000</v>
      </c>
      <c r="D33" s="9">
        <v>734000</v>
      </c>
      <c r="E33" s="9">
        <v>572000</v>
      </c>
      <c r="F33" s="9">
        <v>499000</v>
      </c>
      <c r="G33" s="9">
        <v>419000</v>
      </c>
      <c r="H33" s="9">
        <v>360000</v>
      </c>
      <c r="I33" s="9">
        <v>298000</v>
      </c>
      <c r="J33" s="9">
        <v>511000</v>
      </c>
    </row>
    <row r="34" spans="1:11" ht="12.45" customHeight="1">
      <c r="A34" s="12" t="s">
        <v>411</v>
      </c>
      <c r="B34" s="9">
        <v>1869000</v>
      </c>
      <c r="C34" s="9">
        <v>243000</v>
      </c>
      <c r="D34" s="9">
        <v>308000</v>
      </c>
      <c r="E34" s="9">
        <v>255000</v>
      </c>
      <c r="F34" s="9">
        <v>247000</v>
      </c>
      <c r="G34" s="9">
        <v>199000</v>
      </c>
      <c r="H34" s="9">
        <v>168000</v>
      </c>
      <c r="I34" s="9">
        <v>153000</v>
      </c>
      <c r="J34" s="9">
        <v>295000</v>
      </c>
    </row>
    <row r="35" spans="1:11" ht="12.45" customHeight="1">
      <c r="A35" s="12" t="s">
        <v>412</v>
      </c>
      <c r="B35" s="9">
        <v>1808000</v>
      </c>
      <c r="C35" s="9">
        <v>308000</v>
      </c>
      <c r="D35" s="9">
        <v>339000</v>
      </c>
      <c r="E35" s="9">
        <v>270000</v>
      </c>
      <c r="F35" s="9">
        <v>221000</v>
      </c>
      <c r="G35" s="9">
        <v>194000</v>
      </c>
      <c r="H35" s="9">
        <v>165000</v>
      </c>
      <c r="I35" s="9">
        <v>120000</v>
      </c>
      <c r="J35" s="9">
        <v>190000</v>
      </c>
    </row>
    <row r="36" spans="1:11" ht="12.45" customHeight="1">
      <c r="A36" s="12" t="s">
        <v>413</v>
      </c>
      <c r="B36" s="9">
        <v>288000</v>
      </c>
      <c r="C36" s="9">
        <v>72000</v>
      </c>
      <c r="D36" s="9">
        <v>66000</v>
      </c>
      <c r="E36" s="9">
        <v>38000</v>
      </c>
      <c r="F36" s="9">
        <v>27000</v>
      </c>
      <c r="G36" s="9">
        <v>21000</v>
      </c>
      <c r="H36" s="9">
        <v>26000</v>
      </c>
      <c r="I36" s="9">
        <v>23000</v>
      </c>
      <c r="J36" s="9">
        <v>15000</v>
      </c>
    </row>
    <row r="37" spans="1:11" ht="12.45" customHeight="1">
      <c r="A37" s="12" t="s">
        <v>414</v>
      </c>
      <c r="B37" s="9">
        <v>63000</v>
      </c>
      <c r="C37" s="9">
        <v>11000</v>
      </c>
      <c r="D37" s="9">
        <v>21000</v>
      </c>
      <c r="E37" s="9">
        <v>9000</v>
      </c>
      <c r="F37" s="13" t="s">
        <v>191</v>
      </c>
      <c r="G37" s="9">
        <v>5000</v>
      </c>
      <c r="H37" s="13" t="s">
        <v>191</v>
      </c>
      <c r="I37" s="13" t="s">
        <v>191</v>
      </c>
      <c r="J37" s="13" t="s">
        <v>191</v>
      </c>
    </row>
    <row r="38" spans="1:11" ht="12.45" customHeight="1">
      <c r="A38" s="10" t="s">
        <v>176</v>
      </c>
      <c r="B38" s="9">
        <v>15649000</v>
      </c>
      <c r="C38" s="9">
        <v>1829000</v>
      </c>
      <c r="D38" s="9">
        <v>2517000</v>
      </c>
      <c r="E38" s="9">
        <v>2265000</v>
      </c>
      <c r="F38" s="9">
        <v>1978000</v>
      </c>
      <c r="G38" s="9">
        <v>1579000</v>
      </c>
      <c r="H38" s="9">
        <v>1506000</v>
      </c>
      <c r="I38" s="9">
        <v>1260000</v>
      </c>
      <c r="J38" s="9">
        <v>2715000</v>
      </c>
    </row>
    <row r="39" spans="1:11" ht="12.45" customHeight="1">
      <c r="A39" s="12" t="s">
        <v>411</v>
      </c>
      <c r="B39" s="9">
        <v>7201000</v>
      </c>
      <c r="C39" s="9">
        <v>644000</v>
      </c>
      <c r="D39" s="9">
        <v>987000</v>
      </c>
      <c r="E39" s="9">
        <v>963000</v>
      </c>
      <c r="F39" s="9">
        <v>866000</v>
      </c>
      <c r="G39" s="9">
        <v>829000</v>
      </c>
      <c r="H39" s="9">
        <v>734000</v>
      </c>
      <c r="I39" s="9">
        <v>639000</v>
      </c>
      <c r="J39" s="9">
        <v>1539000</v>
      </c>
    </row>
    <row r="40" spans="1:11" ht="12.45" customHeight="1">
      <c r="A40" s="12" t="s">
        <v>412</v>
      </c>
      <c r="B40" s="9">
        <v>6723000</v>
      </c>
      <c r="C40" s="9">
        <v>840000</v>
      </c>
      <c r="D40" s="9">
        <v>1198000</v>
      </c>
      <c r="E40" s="9">
        <v>978000</v>
      </c>
      <c r="F40" s="9">
        <v>913000</v>
      </c>
      <c r="G40" s="9">
        <v>629000</v>
      </c>
      <c r="H40" s="9">
        <v>642000</v>
      </c>
      <c r="I40" s="9">
        <v>512000</v>
      </c>
      <c r="J40" s="9">
        <v>1011000</v>
      </c>
    </row>
    <row r="41" spans="1:11" ht="12.45" customHeight="1">
      <c r="A41" s="12" t="s">
        <v>413</v>
      </c>
      <c r="B41" s="9">
        <v>1360000</v>
      </c>
      <c r="C41" s="9">
        <v>275000</v>
      </c>
      <c r="D41" s="9">
        <v>259000</v>
      </c>
      <c r="E41" s="9">
        <v>252000</v>
      </c>
      <c r="F41" s="9">
        <v>148000</v>
      </c>
      <c r="G41" s="9">
        <v>100000</v>
      </c>
      <c r="H41" s="9">
        <v>117000</v>
      </c>
      <c r="I41" s="9">
        <v>80000</v>
      </c>
      <c r="J41" s="9">
        <v>129000</v>
      </c>
    </row>
    <row r="42" spans="1:11" ht="12.45" customHeight="1">
      <c r="A42" s="49" t="s">
        <v>414</v>
      </c>
      <c r="B42" s="21">
        <v>364000</v>
      </c>
      <c r="C42" s="21">
        <v>71000</v>
      </c>
      <c r="D42" s="21">
        <v>73000</v>
      </c>
      <c r="E42" s="21">
        <v>73000</v>
      </c>
      <c r="F42" s="21">
        <v>51000</v>
      </c>
      <c r="G42" s="21">
        <v>20000</v>
      </c>
      <c r="H42" s="21">
        <v>13000</v>
      </c>
      <c r="I42" s="21">
        <v>29000</v>
      </c>
      <c r="J42" s="21">
        <v>36000</v>
      </c>
    </row>
    <row r="43" spans="1:11" ht="21.45" customHeight="1">
      <c r="A43" s="344" t="s">
        <v>224</v>
      </c>
      <c r="B43" s="344"/>
      <c r="C43" s="344"/>
      <c r="D43" s="344"/>
      <c r="E43" s="344"/>
      <c r="F43" s="344"/>
      <c r="G43" s="344"/>
      <c r="H43" s="344"/>
      <c r="I43" s="344"/>
      <c r="J43" s="344"/>
      <c r="K43" s="344"/>
    </row>
    <row r="44" spans="1:11" ht="70.2" customHeight="1">
      <c r="A44" s="321" t="s">
        <v>233</v>
      </c>
      <c r="B44" s="321"/>
      <c r="C44" s="321"/>
      <c r="D44" s="321"/>
      <c r="E44" s="321"/>
      <c r="F44" s="321"/>
      <c r="G44" s="321"/>
      <c r="H44" s="321"/>
      <c r="I44" s="321"/>
      <c r="J44" s="321"/>
      <c r="K44" s="321"/>
    </row>
    <row r="45" spans="1:11" ht="1.95" customHeight="1"/>
  </sheetData>
  <mergeCells count="6">
    <mergeCell ref="A44:K44"/>
    <mergeCell ref="A1:K1"/>
    <mergeCell ref="A2:A3"/>
    <mergeCell ref="B2:B3"/>
    <mergeCell ref="C2:J2"/>
    <mergeCell ref="A43:K43"/>
  </mergeCell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0" tint="-0.249977111117893"/>
  </sheetPr>
  <dimension ref="A1:Q39"/>
  <sheetViews>
    <sheetView workbookViewId="0">
      <selection sqref="A1:Z1"/>
    </sheetView>
  </sheetViews>
  <sheetFormatPr defaultRowHeight="13.2"/>
  <cols>
    <col min="1" max="1" width="53.33203125" customWidth="1"/>
    <col min="2" max="2" width="10.44140625" customWidth="1"/>
    <col min="3" max="3" width="10.109375" customWidth="1"/>
    <col min="4" max="4" width="10.44140625" customWidth="1"/>
    <col min="5" max="5" width="10.109375" customWidth="1"/>
    <col min="6" max="7" width="10.44140625" customWidth="1"/>
    <col min="8" max="8" width="10.109375" customWidth="1"/>
    <col min="9" max="10" width="10.44140625" customWidth="1"/>
    <col min="11" max="11" width="10.109375" customWidth="1"/>
    <col min="12" max="13" width="10.44140625" customWidth="1"/>
    <col min="14" max="14" width="10.109375" customWidth="1"/>
    <col min="15" max="16" width="10.44140625" customWidth="1"/>
    <col min="17" max="17" width="2.44140625" customWidth="1"/>
  </cols>
  <sheetData>
    <row r="1" spans="1:17" ht="39" customHeight="1">
      <c r="A1" s="321" t="s">
        <v>431</v>
      </c>
      <c r="B1" s="321"/>
      <c r="C1" s="321"/>
      <c r="D1" s="321"/>
      <c r="E1" s="321"/>
      <c r="F1" s="321"/>
      <c r="G1" s="321"/>
      <c r="H1" s="321"/>
      <c r="I1" s="321"/>
      <c r="J1" s="321"/>
      <c r="K1" s="321"/>
      <c r="L1" s="321"/>
      <c r="M1" s="321"/>
      <c r="N1" s="321"/>
      <c r="O1" s="321"/>
      <c r="P1" s="321"/>
      <c r="Q1" s="321"/>
    </row>
    <row r="2" spans="1:17" ht="1.95" customHeight="1"/>
    <row r="3" spans="1:17" ht="13.95" customHeight="1">
      <c r="A3" s="339" t="s">
        <v>312</v>
      </c>
      <c r="B3" s="330" t="s">
        <v>232</v>
      </c>
      <c r="C3" s="331"/>
      <c r="D3" s="332"/>
      <c r="E3" s="330" t="s">
        <v>218</v>
      </c>
      <c r="F3" s="331"/>
      <c r="G3" s="332"/>
      <c r="H3" s="330" t="s">
        <v>219</v>
      </c>
      <c r="I3" s="331"/>
      <c r="J3" s="332"/>
      <c r="K3" s="330" t="s">
        <v>221</v>
      </c>
      <c r="L3" s="331"/>
      <c r="M3" s="332"/>
      <c r="N3" s="377" t="s">
        <v>223</v>
      </c>
      <c r="O3" s="378"/>
      <c r="P3" s="379"/>
    </row>
    <row r="4" spans="1:17" ht="13.95" customHeight="1">
      <c r="A4" s="341"/>
      <c r="B4" s="5" t="s">
        <v>167</v>
      </c>
      <c r="C4" s="5" t="s">
        <v>282</v>
      </c>
      <c r="D4" s="5" t="s">
        <v>283</v>
      </c>
      <c r="E4" s="5" t="s">
        <v>167</v>
      </c>
      <c r="F4" s="5" t="s">
        <v>282</v>
      </c>
      <c r="G4" s="5" t="s">
        <v>283</v>
      </c>
      <c r="H4" s="5" t="s">
        <v>167</v>
      </c>
      <c r="I4" s="5" t="s">
        <v>282</v>
      </c>
      <c r="J4" s="5" t="s">
        <v>283</v>
      </c>
      <c r="K4" s="5" t="s">
        <v>167</v>
      </c>
      <c r="L4" s="5" t="s">
        <v>282</v>
      </c>
      <c r="M4" s="5" t="s">
        <v>283</v>
      </c>
      <c r="N4" s="5" t="s">
        <v>167</v>
      </c>
      <c r="O4" s="5" t="s">
        <v>282</v>
      </c>
      <c r="P4" s="5" t="s">
        <v>283</v>
      </c>
    </row>
    <row r="5" spans="1:17" ht="12.45" customHeight="1">
      <c r="A5" s="6" t="s">
        <v>322</v>
      </c>
      <c r="B5" s="7">
        <v>77000</v>
      </c>
      <c r="C5" s="7">
        <v>66000</v>
      </c>
      <c r="D5" s="7">
        <v>90000</v>
      </c>
      <c r="E5" s="7">
        <v>70000</v>
      </c>
      <c r="F5" s="7">
        <v>60000</v>
      </c>
      <c r="G5" s="7">
        <v>80000</v>
      </c>
      <c r="H5" s="7">
        <v>84000</v>
      </c>
      <c r="I5" s="7">
        <v>73000</v>
      </c>
      <c r="J5" s="7">
        <v>100000</v>
      </c>
      <c r="K5" s="7">
        <v>100000</v>
      </c>
      <c r="L5" s="7">
        <v>92000</v>
      </c>
      <c r="M5" s="7">
        <v>113000</v>
      </c>
      <c r="N5" s="7">
        <v>135000</v>
      </c>
      <c r="O5" s="7">
        <v>110000</v>
      </c>
      <c r="P5" s="7">
        <v>150000</v>
      </c>
    </row>
    <row r="6" spans="1:17" ht="12.45" customHeight="1">
      <c r="A6" s="8" t="s">
        <v>323</v>
      </c>
      <c r="B6" s="9">
        <v>55000</v>
      </c>
      <c r="C6" s="9">
        <v>51000</v>
      </c>
      <c r="D6" s="9">
        <v>60000</v>
      </c>
      <c r="E6" s="9">
        <v>52000</v>
      </c>
      <c r="F6" s="9">
        <v>48000</v>
      </c>
      <c r="G6" s="9">
        <v>60000</v>
      </c>
      <c r="H6" s="9">
        <v>60000</v>
      </c>
      <c r="I6" s="9">
        <v>58000</v>
      </c>
      <c r="J6" s="9">
        <v>69000</v>
      </c>
      <c r="K6" s="9">
        <v>75000</v>
      </c>
      <c r="L6" s="9">
        <v>73000</v>
      </c>
      <c r="M6" s="9">
        <v>79000</v>
      </c>
      <c r="N6" s="9">
        <v>64000</v>
      </c>
      <c r="O6" s="9">
        <v>58000</v>
      </c>
      <c r="P6" s="9">
        <v>81000</v>
      </c>
    </row>
    <row r="7" spans="1:17" ht="12.45" customHeight="1">
      <c r="A7" s="8" t="s">
        <v>324</v>
      </c>
      <c r="B7" s="9">
        <v>75000</v>
      </c>
      <c r="C7" s="9">
        <v>66000</v>
      </c>
      <c r="D7" s="9">
        <v>85000</v>
      </c>
      <c r="E7" s="9">
        <v>69000</v>
      </c>
      <c r="F7" s="9">
        <v>60000</v>
      </c>
      <c r="G7" s="9">
        <v>79000</v>
      </c>
      <c r="H7" s="9">
        <v>79000</v>
      </c>
      <c r="I7" s="9">
        <v>70000</v>
      </c>
      <c r="J7" s="9">
        <v>92000</v>
      </c>
      <c r="K7" s="9">
        <v>90000</v>
      </c>
      <c r="L7" s="9">
        <v>81000</v>
      </c>
      <c r="M7" s="9">
        <v>100000</v>
      </c>
      <c r="N7" s="9">
        <v>119000</v>
      </c>
      <c r="O7" s="9">
        <v>115000</v>
      </c>
      <c r="P7" s="9">
        <v>131000</v>
      </c>
    </row>
    <row r="8" spans="1:17" ht="12.45" customHeight="1">
      <c r="A8" s="8" t="s">
        <v>325</v>
      </c>
      <c r="B8" s="9">
        <v>85000</v>
      </c>
      <c r="C8" s="9">
        <v>75000</v>
      </c>
      <c r="D8" s="9">
        <v>100000</v>
      </c>
      <c r="E8" s="9">
        <v>80000</v>
      </c>
      <c r="F8" s="9">
        <v>65000</v>
      </c>
      <c r="G8" s="9">
        <v>95000</v>
      </c>
      <c r="H8" s="9">
        <v>88000</v>
      </c>
      <c r="I8" s="9">
        <v>76000</v>
      </c>
      <c r="J8" s="9">
        <v>105000</v>
      </c>
      <c r="K8" s="9">
        <v>106000</v>
      </c>
      <c r="L8" s="9">
        <v>96000</v>
      </c>
      <c r="M8" s="9">
        <v>118000</v>
      </c>
      <c r="N8" s="9">
        <v>144000</v>
      </c>
      <c r="O8" s="9">
        <v>117000</v>
      </c>
      <c r="P8" s="9">
        <v>185000</v>
      </c>
    </row>
    <row r="9" spans="1:17" ht="12.45" customHeight="1">
      <c r="A9" s="8" t="s">
        <v>326</v>
      </c>
      <c r="B9" s="9">
        <v>89000</v>
      </c>
      <c r="C9" s="9">
        <v>75000</v>
      </c>
      <c r="D9" s="9">
        <v>101000</v>
      </c>
      <c r="E9" s="9">
        <v>80000</v>
      </c>
      <c r="F9" s="9">
        <v>66000</v>
      </c>
      <c r="G9" s="9">
        <v>94000</v>
      </c>
      <c r="H9" s="9">
        <v>94000</v>
      </c>
      <c r="I9" s="9">
        <v>83000</v>
      </c>
      <c r="J9" s="9">
        <v>115000</v>
      </c>
      <c r="K9" s="9">
        <v>113000</v>
      </c>
      <c r="L9" s="9">
        <v>100000</v>
      </c>
      <c r="M9" s="9">
        <v>120000</v>
      </c>
      <c r="N9" s="9">
        <v>165000</v>
      </c>
      <c r="O9" s="9">
        <v>139000</v>
      </c>
      <c r="P9" s="9">
        <v>174000</v>
      </c>
    </row>
    <row r="10" spans="1:17" ht="12.45" customHeight="1">
      <c r="A10" s="8" t="s">
        <v>174</v>
      </c>
      <c r="B10" s="9">
        <v>99000</v>
      </c>
      <c r="C10" s="9">
        <v>86000</v>
      </c>
      <c r="D10" s="9">
        <v>102000</v>
      </c>
      <c r="E10" s="9">
        <v>93000</v>
      </c>
      <c r="F10" s="9">
        <v>81000</v>
      </c>
      <c r="G10" s="9">
        <v>97000</v>
      </c>
      <c r="H10" s="9">
        <v>106000</v>
      </c>
      <c r="I10" s="9">
        <v>90000</v>
      </c>
      <c r="J10" s="9">
        <v>114000</v>
      </c>
      <c r="K10" s="9">
        <v>107000</v>
      </c>
      <c r="L10" s="9">
        <v>92000</v>
      </c>
      <c r="M10" s="9">
        <v>115000</v>
      </c>
      <c r="N10" s="9">
        <v>90000</v>
      </c>
      <c r="O10" s="9">
        <v>84000</v>
      </c>
      <c r="P10" s="9">
        <v>98000</v>
      </c>
    </row>
    <row r="11" spans="1:17" ht="12.45" customHeight="1">
      <c r="A11" s="10" t="s">
        <v>323</v>
      </c>
      <c r="B11" s="9">
        <v>73000</v>
      </c>
      <c r="C11" s="9">
        <v>68000</v>
      </c>
      <c r="D11" s="9">
        <v>75000</v>
      </c>
      <c r="E11" s="9">
        <v>72000</v>
      </c>
      <c r="F11" s="9">
        <v>66000</v>
      </c>
      <c r="G11" s="9">
        <v>73000</v>
      </c>
      <c r="H11" s="9">
        <v>80000</v>
      </c>
      <c r="I11" s="9">
        <v>72000</v>
      </c>
      <c r="J11" s="9">
        <v>82000</v>
      </c>
      <c r="K11" s="9">
        <v>64000</v>
      </c>
      <c r="L11" s="9">
        <v>56000</v>
      </c>
      <c r="M11" s="9">
        <v>70000</v>
      </c>
      <c r="N11" s="13" t="s">
        <v>220</v>
      </c>
      <c r="O11" s="13" t="s">
        <v>191</v>
      </c>
      <c r="P11" s="13" t="s">
        <v>220</v>
      </c>
    </row>
    <row r="12" spans="1:17" ht="12.45" customHeight="1">
      <c r="A12" s="10" t="s">
        <v>324</v>
      </c>
      <c r="B12" s="9">
        <v>96000</v>
      </c>
      <c r="C12" s="9">
        <v>86000</v>
      </c>
      <c r="D12" s="9">
        <v>100000</v>
      </c>
      <c r="E12" s="9">
        <v>93000</v>
      </c>
      <c r="F12" s="9">
        <v>84000</v>
      </c>
      <c r="G12" s="9">
        <v>95000</v>
      </c>
      <c r="H12" s="9">
        <v>102000</v>
      </c>
      <c r="I12" s="9">
        <v>94000</v>
      </c>
      <c r="J12" s="9">
        <v>110000</v>
      </c>
      <c r="K12" s="9">
        <v>90000</v>
      </c>
      <c r="L12" s="9">
        <v>80000</v>
      </c>
      <c r="M12" s="9">
        <v>100000</v>
      </c>
      <c r="N12" s="9">
        <v>83000</v>
      </c>
      <c r="O12" s="9">
        <v>77000</v>
      </c>
      <c r="P12" s="9">
        <v>87000</v>
      </c>
    </row>
    <row r="13" spans="1:17" ht="12.45" customHeight="1">
      <c r="A13" s="10" t="s">
        <v>325</v>
      </c>
      <c r="B13" s="9">
        <v>110000</v>
      </c>
      <c r="C13" s="9">
        <v>95000</v>
      </c>
      <c r="D13" s="9">
        <v>115000</v>
      </c>
      <c r="E13" s="9">
        <v>107000</v>
      </c>
      <c r="F13" s="9">
        <v>92000</v>
      </c>
      <c r="G13" s="9">
        <v>110000</v>
      </c>
      <c r="H13" s="9">
        <v>115000</v>
      </c>
      <c r="I13" s="9">
        <v>92000</v>
      </c>
      <c r="J13" s="9">
        <v>125000</v>
      </c>
      <c r="K13" s="9">
        <v>110000</v>
      </c>
      <c r="L13" s="9">
        <v>100000</v>
      </c>
      <c r="M13" s="9">
        <v>116000</v>
      </c>
      <c r="N13" s="9">
        <v>132000</v>
      </c>
      <c r="O13" s="9">
        <v>98000</v>
      </c>
      <c r="P13" s="9">
        <v>206000</v>
      </c>
    </row>
    <row r="14" spans="1:17" ht="12.45" customHeight="1">
      <c r="A14" s="10" t="s">
        <v>326</v>
      </c>
      <c r="B14" s="9">
        <v>115000</v>
      </c>
      <c r="C14" s="9">
        <v>100000</v>
      </c>
      <c r="D14" s="9">
        <v>120000</v>
      </c>
      <c r="E14" s="9">
        <v>110000</v>
      </c>
      <c r="F14" s="9">
        <v>92000</v>
      </c>
      <c r="G14" s="9">
        <v>113000</v>
      </c>
      <c r="H14" s="9">
        <v>120000</v>
      </c>
      <c r="I14" s="9">
        <v>107000</v>
      </c>
      <c r="J14" s="9">
        <v>126000</v>
      </c>
      <c r="K14" s="9">
        <v>125000</v>
      </c>
      <c r="L14" s="9">
        <v>111000</v>
      </c>
      <c r="M14" s="9">
        <v>130000</v>
      </c>
      <c r="N14" s="9">
        <v>100000</v>
      </c>
      <c r="O14" s="9">
        <v>100000</v>
      </c>
      <c r="P14" s="9">
        <v>100000</v>
      </c>
    </row>
    <row r="15" spans="1:17" ht="12.45" customHeight="1">
      <c r="A15" s="10" t="s">
        <v>227</v>
      </c>
      <c r="B15" s="9">
        <v>72000</v>
      </c>
      <c r="C15" s="9">
        <v>72000</v>
      </c>
      <c r="D15" s="9">
        <v>71000</v>
      </c>
      <c r="E15" s="9">
        <v>55000</v>
      </c>
      <c r="F15" s="9">
        <v>59000</v>
      </c>
      <c r="G15" s="9">
        <v>52000</v>
      </c>
      <c r="H15" s="9">
        <v>68000</v>
      </c>
      <c r="I15" s="9">
        <v>69000</v>
      </c>
      <c r="J15" s="9">
        <v>65000</v>
      </c>
      <c r="K15" s="9">
        <v>96000</v>
      </c>
      <c r="L15" s="9">
        <v>90000</v>
      </c>
      <c r="M15" s="9">
        <v>100000</v>
      </c>
      <c r="N15" s="9">
        <v>136000</v>
      </c>
      <c r="O15" s="9">
        <v>85000</v>
      </c>
      <c r="P15" s="9">
        <v>172000</v>
      </c>
    </row>
    <row r="16" spans="1:17" ht="12.45" customHeight="1">
      <c r="A16" s="12" t="s">
        <v>323</v>
      </c>
      <c r="B16" s="9">
        <v>39000</v>
      </c>
      <c r="C16" s="9">
        <v>42000</v>
      </c>
      <c r="D16" s="9">
        <v>39000</v>
      </c>
      <c r="E16" s="9">
        <v>39000</v>
      </c>
      <c r="F16" s="9">
        <v>39000</v>
      </c>
      <c r="G16" s="9">
        <v>39000</v>
      </c>
      <c r="H16" s="9">
        <v>36000</v>
      </c>
      <c r="I16" s="9">
        <v>39000</v>
      </c>
      <c r="J16" s="9">
        <v>36000</v>
      </c>
      <c r="K16" s="9">
        <v>55000</v>
      </c>
      <c r="L16" s="9">
        <v>54000</v>
      </c>
      <c r="M16" s="13" t="s">
        <v>191</v>
      </c>
      <c r="N16" s="13" t="s">
        <v>191</v>
      </c>
      <c r="O16" s="13" t="s">
        <v>220</v>
      </c>
      <c r="P16" s="13" t="s">
        <v>220</v>
      </c>
    </row>
    <row r="17" spans="1:16" ht="12.45" customHeight="1">
      <c r="A17" s="12" t="s">
        <v>324</v>
      </c>
      <c r="B17" s="9">
        <v>64000</v>
      </c>
      <c r="C17" s="9">
        <v>67000</v>
      </c>
      <c r="D17" s="9">
        <v>62000</v>
      </c>
      <c r="E17" s="9">
        <v>58000</v>
      </c>
      <c r="F17" s="9">
        <v>63000</v>
      </c>
      <c r="G17" s="9">
        <v>54000</v>
      </c>
      <c r="H17" s="9">
        <v>62000</v>
      </c>
      <c r="I17" s="9">
        <v>66000</v>
      </c>
      <c r="J17" s="9">
        <v>56000</v>
      </c>
      <c r="K17" s="9">
        <v>70000</v>
      </c>
      <c r="L17" s="9">
        <v>74000</v>
      </c>
      <c r="M17" s="9">
        <v>70000</v>
      </c>
      <c r="N17" s="13" t="s">
        <v>191</v>
      </c>
      <c r="O17" s="13" t="s">
        <v>191</v>
      </c>
      <c r="P17" s="9">
        <v>63000</v>
      </c>
    </row>
    <row r="18" spans="1:16" ht="12.45" customHeight="1">
      <c r="A18" s="12" t="s">
        <v>325</v>
      </c>
      <c r="B18" s="9">
        <v>90000</v>
      </c>
      <c r="C18" s="9">
        <v>92000</v>
      </c>
      <c r="D18" s="9">
        <v>89000</v>
      </c>
      <c r="E18" s="9">
        <v>80000</v>
      </c>
      <c r="F18" s="9">
        <v>94000</v>
      </c>
      <c r="G18" s="9">
        <v>70000</v>
      </c>
      <c r="H18" s="9">
        <v>80000</v>
      </c>
      <c r="I18" s="9">
        <v>79000</v>
      </c>
      <c r="J18" s="9">
        <v>80000</v>
      </c>
      <c r="K18" s="9">
        <v>108000</v>
      </c>
      <c r="L18" s="9">
        <v>105000</v>
      </c>
      <c r="M18" s="9">
        <v>109000</v>
      </c>
      <c r="N18" s="9">
        <v>213000</v>
      </c>
      <c r="O18" s="13" t="s">
        <v>191</v>
      </c>
      <c r="P18" s="9">
        <v>217000</v>
      </c>
    </row>
    <row r="19" spans="1:16" ht="12.45" customHeight="1">
      <c r="A19" s="12" t="s">
        <v>326</v>
      </c>
      <c r="B19" s="9">
        <v>105000</v>
      </c>
      <c r="C19" s="9">
        <v>102000</v>
      </c>
      <c r="D19" s="9">
        <v>107000</v>
      </c>
      <c r="E19" s="9">
        <v>85000</v>
      </c>
      <c r="F19" s="9">
        <v>84000</v>
      </c>
      <c r="G19" s="9">
        <v>85000</v>
      </c>
      <c r="H19" s="9">
        <v>96000</v>
      </c>
      <c r="I19" s="9">
        <v>93000</v>
      </c>
      <c r="J19" s="9">
        <v>96000</v>
      </c>
      <c r="K19" s="9">
        <v>125000</v>
      </c>
      <c r="L19" s="9">
        <v>125000</v>
      </c>
      <c r="M19" s="9">
        <v>125000</v>
      </c>
      <c r="N19" s="9">
        <v>144000</v>
      </c>
      <c r="O19" s="9">
        <v>70000</v>
      </c>
      <c r="P19" s="9">
        <v>172000</v>
      </c>
    </row>
    <row r="20" spans="1:16" ht="12.45" customHeight="1">
      <c r="A20" s="10" t="s">
        <v>228</v>
      </c>
      <c r="B20" s="9">
        <v>104000</v>
      </c>
      <c r="C20" s="9">
        <v>92000</v>
      </c>
      <c r="D20" s="9">
        <v>109000</v>
      </c>
      <c r="E20" s="9">
        <v>98000</v>
      </c>
      <c r="F20" s="9">
        <v>88000</v>
      </c>
      <c r="G20" s="9">
        <v>100000</v>
      </c>
      <c r="H20" s="9">
        <v>114000</v>
      </c>
      <c r="I20" s="9">
        <v>100000</v>
      </c>
      <c r="J20" s="9">
        <v>120000</v>
      </c>
      <c r="K20" s="9">
        <v>139000</v>
      </c>
      <c r="L20" s="9">
        <v>120000</v>
      </c>
      <c r="M20" s="9">
        <v>145000</v>
      </c>
      <c r="N20" s="9">
        <v>96000</v>
      </c>
      <c r="O20" s="13" t="s">
        <v>191</v>
      </c>
      <c r="P20" s="9">
        <v>90000</v>
      </c>
    </row>
    <row r="21" spans="1:16" ht="12.45" customHeight="1">
      <c r="A21" s="12" t="s">
        <v>323</v>
      </c>
      <c r="B21" s="9">
        <v>81000</v>
      </c>
      <c r="C21" s="9">
        <v>80000</v>
      </c>
      <c r="D21" s="9">
        <v>81000</v>
      </c>
      <c r="E21" s="9">
        <v>77000</v>
      </c>
      <c r="F21" s="9">
        <v>75000</v>
      </c>
      <c r="G21" s="9">
        <v>78000</v>
      </c>
      <c r="H21" s="9">
        <v>92000</v>
      </c>
      <c r="I21" s="9">
        <v>91000</v>
      </c>
      <c r="J21" s="9">
        <v>96000</v>
      </c>
      <c r="K21" s="13" t="s">
        <v>191</v>
      </c>
      <c r="L21" s="13" t="s">
        <v>191</v>
      </c>
      <c r="M21" s="13" t="s">
        <v>191</v>
      </c>
      <c r="N21" s="13" t="s">
        <v>220</v>
      </c>
      <c r="O21" s="13" t="s">
        <v>220</v>
      </c>
      <c r="P21" s="13" t="s">
        <v>220</v>
      </c>
    </row>
    <row r="22" spans="1:16" ht="12.45" customHeight="1">
      <c r="A22" s="12" t="s">
        <v>324</v>
      </c>
      <c r="B22" s="9">
        <v>102000</v>
      </c>
      <c r="C22" s="9">
        <v>95000</v>
      </c>
      <c r="D22" s="9">
        <v>105000</v>
      </c>
      <c r="E22" s="9">
        <v>97000</v>
      </c>
      <c r="F22" s="9">
        <v>89000</v>
      </c>
      <c r="G22" s="9">
        <v>100000</v>
      </c>
      <c r="H22" s="9">
        <v>110000</v>
      </c>
      <c r="I22" s="9">
        <v>104000</v>
      </c>
      <c r="J22" s="9">
        <v>119000</v>
      </c>
      <c r="K22" s="9">
        <v>143000</v>
      </c>
      <c r="L22" s="9">
        <v>106000</v>
      </c>
      <c r="M22" s="9">
        <v>147000</v>
      </c>
      <c r="N22" s="13" t="s">
        <v>220</v>
      </c>
      <c r="O22" s="13" t="s">
        <v>220</v>
      </c>
      <c r="P22" s="13" t="s">
        <v>220</v>
      </c>
    </row>
    <row r="23" spans="1:16" ht="12.45" customHeight="1">
      <c r="A23" s="12" t="s">
        <v>325</v>
      </c>
      <c r="B23" s="9">
        <v>114000</v>
      </c>
      <c r="C23" s="9">
        <v>98000</v>
      </c>
      <c r="D23" s="9">
        <v>120000</v>
      </c>
      <c r="E23" s="9">
        <v>110000</v>
      </c>
      <c r="F23" s="9">
        <v>96000</v>
      </c>
      <c r="G23" s="9">
        <v>113000</v>
      </c>
      <c r="H23" s="9">
        <v>120000</v>
      </c>
      <c r="I23" s="9">
        <v>99000</v>
      </c>
      <c r="J23" s="9">
        <v>130000</v>
      </c>
      <c r="K23" s="9">
        <v>138000</v>
      </c>
      <c r="L23" s="9">
        <v>126000</v>
      </c>
      <c r="M23" s="9">
        <v>146000</v>
      </c>
      <c r="N23" s="13" t="s">
        <v>191</v>
      </c>
      <c r="O23" s="13" t="s">
        <v>220</v>
      </c>
      <c r="P23" s="13" t="s">
        <v>220</v>
      </c>
    </row>
    <row r="24" spans="1:16" ht="12.45" customHeight="1">
      <c r="A24" s="12" t="s">
        <v>326</v>
      </c>
      <c r="B24" s="9">
        <v>112000</v>
      </c>
      <c r="C24" s="9">
        <v>97000</v>
      </c>
      <c r="D24" s="9">
        <v>120000</v>
      </c>
      <c r="E24" s="9">
        <v>106000</v>
      </c>
      <c r="F24" s="9">
        <v>90000</v>
      </c>
      <c r="G24" s="9">
        <v>110000</v>
      </c>
      <c r="H24" s="9">
        <v>120000</v>
      </c>
      <c r="I24" s="9">
        <v>108000</v>
      </c>
      <c r="J24" s="9">
        <v>130000</v>
      </c>
      <c r="K24" s="9">
        <v>139000</v>
      </c>
      <c r="L24" s="9">
        <v>131000</v>
      </c>
      <c r="M24" s="9">
        <v>140000</v>
      </c>
      <c r="N24" s="9">
        <v>98000</v>
      </c>
      <c r="O24" s="13" t="s">
        <v>220</v>
      </c>
      <c r="P24" s="13" t="s">
        <v>191</v>
      </c>
    </row>
    <row r="25" spans="1:16" ht="12.45" customHeight="1">
      <c r="A25" s="10" t="s">
        <v>229</v>
      </c>
      <c r="B25" s="9">
        <v>78000</v>
      </c>
      <c r="C25" s="9">
        <v>72000</v>
      </c>
      <c r="D25" s="9">
        <v>80000</v>
      </c>
      <c r="E25" s="9">
        <v>63000</v>
      </c>
      <c r="F25" s="9">
        <v>60000</v>
      </c>
      <c r="G25" s="9">
        <v>65000</v>
      </c>
      <c r="H25" s="9">
        <v>78000</v>
      </c>
      <c r="I25" s="9">
        <v>77000</v>
      </c>
      <c r="J25" s="9">
        <v>79000</v>
      </c>
      <c r="K25" s="9">
        <v>100000</v>
      </c>
      <c r="L25" s="9">
        <v>83000</v>
      </c>
      <c r="M25" s="9">
        <v>102000</v>
      </c>
      <c r="N25" s="13" t="s">
        <v>191</v>
      </c>
      <c r="O25" s="13" t="s">
        <v>220</v>
      </c>
      <c r="P25" s="13" t="s">
        <v>222</v>
      </c>
    </row>
    <row r="26" spans="1:16" ht="12.45" customHeight="1">
      <c r="A26" s="12" t="s">
        <v>323</v>
      </c>
      <c r="B26" s="9">
        <v>43000</v>
      </c>
      <c r="C26" s="9">
        <v>44000</v>
      </c>
      <c r="D26" s="9">
        <v>40000</v>
      </c>
      <c r="E26" s="9">
        <v>41000</v>
      </c>
      <c r="F26" s="9">
        <v>43000</v>
      </c>
      <c r="G26" s="9">
        <v>37000</v>
      </c>
      <c r="H26" s="9">
        <v>34000</v>
      </c>
      <c r="I26" s="9">
        <v>43000</v>
      </c>
      <c r="J26" s="9">
        <v>33000</v>
      </c>
      <c r="K26" s="9">
        <v>69000</v>
      </c>
      <c r="L26" s="9">
        <v>83000</v>
      </c>
      <c r="M26" s="9">
        <v>55000</v>
      </c>
      <c r="N26" s="13" t="s">
        <v>220</v>
      </c>
      <c r="O26" s="13" t="s">
        <v>220</v>
      </c>
      <c r="P26" s="13" t="s">
        <v>220</v>
      </c>
    </row>
    <row r="27" spans="1:16" ht="12.45" customHeight="1">
      <c r="A27" s="12" t="s">
        <v>324</v>
      </c>
      <c r="B27" s="9">
        <v>72000</v>
      </c>
      <c r="C27" s="9">
        <v>71000</v>
      </c>
      <c r="D27" s="9">
        <v>72000</v>
      </c>
      <c r="E27" s="9">
        <v>64000</v>
      </c>
      <c r="F27" s="9">
        <v>56000</v>
      </c>
      <c r="G27" s="9">
        <v>69000</v>
      </c>
      <c r="H27" s="9">
        <v>75000</v>
      </c>
      <c r="I27" s="9">
        <v>74000</v>
      </c>
      <c r="J27" s="9">
        <v>78000</v>
      </c>
      <c r="K27" s="9">
        <v>80000</v>
      </c>
      <c r="L27" s="9">
        <v>79000</v>
      </c>
      <c r="M27" s="9">
        <v>82000</v>
      </c>
      <c r="N27" s="13" t="s">
        <v>220</v>
      </c>
      <c r="O27" s="13" t="s">
        <v>220</v>
      </c>
      <c r="P27" s="13" t="s">
        <v>220</v>
      </c>
    </row>
    <row r="28" spans="1:16" ht="12.45" customHeight="1">
      <c r="A28" s="12" t="s">
        <v>325</v>
      </c>
      <c r="B28" s="9">
        <v>92000</v>
      </c>
      <c r="C28" s="9">
        <v>91000</v>
      </c>
      <c r="D28" s="9">
        <v>92000</v>
      </c>
      <c r="E28" s="9">
        <v>79000</v>
      </c>
      <c r="F28" s="9">
        <v>74000</v>
      </c>
      <c r="G28" s="9">
        <v>80000</v>
      </c>
      <c r="H28" s="9">
        <v>98000</v>
      </c>
      <c r="I28" s="9">
        <v>106000</v>
      </c>
      <c r="J28" s="9">
        <v>92000</v>
      </c>
      <c r="K28" s="9">
        <v>105000</v>
      </c>
      <c r="L28" s="9">
        <v>102000</v>
      </c>
      <c r="M28" s="9">
        <v>104000</v>
      </c>
      <c r="N28" s="13" t="s">
        <v>220</v>
      </c>
      <c r="O28" s="13" t="s">
        <v>220</v>
      </c>
      <c r="P28" s="13" t="s">
        <v>220</v>
      </c>
    </row>
    <row r="29" spans="1:16" ht="12.45" customHeight="1">
      <c r="A29" s="12" t="s">
        <v>326</v>
      </c>
      <c r="B29" s="9">
        <v>105000</v>
      </c>
      <c r="C29" s="9">
        <v>88000</v>
      </c>
      <c r="D29" s="9">
        <v>110000</v>
      </c>
      <c r="E29" s="9">
        <v>90000</v>
      </c>
      <c r="F29" s="9">
        <v>85000</v>
      </c>
      <c r="G29" s="9">
        <v>100000</v>
      </c>
      <c r="H29" s="9">
        <v>99000</v>
      </c>
      <c r="I29" s="9">
        <v>82000</v>
      </c>
      <c r="J29" s="9">
        <v>102000</v>
      </c>
      <c r="K29" s="9">
        <v>118000</v>
      </c>
      <c r="L29" s="9">
        <v>101000</v>
      </c>
      <c r="M29" s="9">
        <v>119000</v>
      </c>
      <c r="N29" s="13" t="s">
        <v>220</v>
      </c>
      <c r="O29" s="13" t="s">
        <v>220</v>
      </c>
      <c r="P29" s="13" t="s">
        <v>220</v>
      </c>
    </row>
    <row r="30" spans="1:16" ht="12.45" customHeight="1">
      <c r="A30" s="10" t="s">
        <v>230</v>
      </c>
      <c r="B30" s="9">
        <v>78000</v>
      </c>
      <c r="C30" s="9">
        <v>75000</v>
      </c>
      <c r="D30" s="9">
        <v>87000</v>
      </c>
      <c r="E30" s="9">
        <v>71000</v>
      </c>
      <c r="F30" s="9">
        <v>64000</v>
      </c>
      <c r="G30" s="9">
        <v>79000</v>
      </c>
      <c r="H30" s="9">
        <v>72000</v>
      </c>
      <c r="I30" s="9">
        <v>72000</v>
      </c>
      <c r="J30" s="9">
        <v>72000</v>
      </c>
      <c r="K30" s="9">
        <v>91000</v>
      </c>
      <c r="L30" s="9">
        <v>87000</v>
      </c>
      <c r="M30" s="9">
        <v>98000</v>
      </c>
      <c r="N30" s="9">
        <v>79000</v>
      </c>
      <c r="O30" s="9">
        <v>78000</v>
      </c>
      <c r="P30" s="9">
        <v>85000</v>
      </c>
    </row>
    <row r="31" spans="1:16" ht="12.45" customHeight="1">
      <c r="A31" s="12" t="s">
        <v>323</v>
      </c>
      <c r="B31" s="9">
        <v>55000</v>
      </c>
      <c r="C31" s="9">
        <v>52000</v>
      </c>
      <c r="D31" s="9">
        <v>64000</v>
      </c>
      <c r="E31" s="9">
        <v>50000</v>
      </c>
      <c r="F31" s="9">
        <v>42000</v>
      </c>
      <c r="G31" s="9">
        <v>71000</v>
      </c>
      <c r="H31" s="9">
        <v>54000</v>
      </c>
      <c r="I31" s="9">
        <v>54000</v>
      </c>
      <c r="J31" s="9">
        <v>53000</v>
      </c>
      <c r="K31" s="9">
        <v>68000</v>
      </c>
      <c r="L31" s="9">
        <v>65000</v>
      </c>
      <c r="M31" s="9">
        <v>71000</v>
      </c>
      <c r="N31" s="13" t="s">
        <v>220</v>
      </c>
      <c r="O31" s="13" t="s">
        <v>220</v>
      </c>
      <c r="P31" s="13" t="s">
        <v>220</v>
      </c>
    </row>
    <row r="32" spans="1:16" ht="12.45" customHeight="1">
      <c r="A32" s="12" t="s">
        <v>324</v>
      </c>
      <c r="B32" s="9">
        <v>78000</v>
      </c>
      <c r="C32" s="9">
        <v>77000</v>
      </c>
      <c r="D32" s="9">
        <v>84000</v>
      </c>
      <c r="E32" s="9">
        <v>78000</v>
      </c>
      <c r="F32" s="9">
        <v>75000</v>
      </c>
      <c r="G32" s="9">
        <v>103000</v>
      </c>
      <c r="H32" s="9">
        <v>70000</v>
      </c>
      <c r="I32" s="9">
        <v>72000</v>
      </c>
      <c r="J32" s="9">
        <v>70000</v>
      </c>
      <c r="K32" s="9">
        <v>86000</v>
      </c>
      <c r="L32" s="9">
        <v>77000</v>
      </c>
      <c r="M32" s="9">
        <v>92000</v>
      </c>
      <c r="N32" s="9">
        <v>77000</v>
      </c>
      <c r="O32" s="13" t="s">
        <v>191</v>
      </c>
      <c r="P32" s="13" t="s">
        <v>220</v>
      </c>
    </row>
    <row r="33" spans="1:16" ht="12.45" customHeight="1">
      <c r="A33" s="12" t="s">
        <v>325</v>
      </c>
      <c r="B33" s="9">
        <v>80000</v>
      </c>
      <c r="C33" s="9">
        <v>75000</v>
      </c>
      <c r="D33" s="9">
        <v>98000</v>
      </c>
      <c r="E33" s="9">
        <v>74000</v>
      </c>
      <c r="F33" s="9">
        <v>72000</v>
      </c>
      <c r="G33" s="9">
        <v>100000</v>
      </c>
      <c r="H33" s="9">
        <v>78000</v>
      </c>
      <c r="I33" s="9">
        <v>77000</v>
      </c>
      <c r="J33" s="9">
        <v>92000</v>
      </c>
      <c r="K33" s="9">
        <v>85000</v>
      </c>
      <c r="L33" s="9">
        <v>83000</v>
      </c>
      <c r="M33" s="9">
        <v>93000</v>
      </c>
      <c r="N33" s="9">
        <v>94000</v>
      </c>
      <c r="O33" s="9">
        <v>95000</v>
      </c>
      <c r="P33" s="13" t="s">
        <v>222</v>
      </c>
    </row>
    <row r="34" spans="1:16" ht="12.45" customHeight="1">
      <c r="A34" s="12" t="s">
        <v>326</v>
      </c>
      <c r="B34" s="9">
        <v>100000</v>
      </c>
      <c r="C34" s="9">
        <v>93000</v>
      </c>
      <c r="D34" s="9">
        <v>100000</v>
      </c>
      <c r="E34" s="13" t="s">
        <v>191</v>
      </c>
      <c r="F34" s="9">
        <v>134000</v>
      </c>
      <c r="G34" s="9">
        <v>77000</v>
      </c>
      <c r="H34" s="9">
        <v>91000</v>
      </c>
      <c r="I34" s="9">
        <v>82000</v>
      </c>
      <c r="J34" s="9">
        <v>98000</v>
      </c>
      <c r="K34" s="9">
        <v>100000</v>
      </c>
      <c r="L34" s="9">
        <v>92000</v>
      </c>
      <c r="M34" s="9">
        <v>107000</v>
      </c>
      <c r="N34" s="9">
        <v>108000</v>
      </c>
      <c r="O34" s="9">
        <v>94000</v>
      </c>
      <c r="P34" s="9">
        <v>130000</v>
      </c>
    </row>
    <row r="35" spans="1:16" ht="12.45" customHeight="1">
      <c r="A35" s="10" t="s">
        <v>231</v>
      </c>
      <c r="B35" s="9">
        <v>101000</v>
      </c>
      <c r="C35" s="9">
        <v>93000</v>
      </c>
      <c r="D35" s="9">
        <v>104000</v>
      </c>
      <c r="E35" s="9">
        <v>95000</v>
      </c>
      <c r="F35" s="9">
        <v>85000</v>
      </c>
      <c r="G35" s="9">
        <v>96000</v>
      </c>
      <c r="H35" s="9">
        <v>112000</v>
      </c>
      <c r="I35" s="9">
        <v>105000</v>
      </c>
      <c r="J35" s="9">
        <v>115000</v>
      </c>
      <c r="K35" s="9">
        <v>132000</v>
      </c>
      <c r="L35" s="9">
        <v>110000</v>
      </c>
      <c r="M35" s="9">
        <v>134000</v>
      </c>
      <c r="N35" s="13" t="s">
        <v>191</v>
      </c>
      <c r="O35" s="13" t="s">
        <v>220</v>
      </c>
      <c r="P35" s="13" t="s">
        <v>191</v>
      </c>
    </row>
    <row r="36" spans="1:16" ht="12.45" customHeight="1">
      <c r="A36" s="12" t="s">
        <v>323</v>
      </c>
      <c r="B36" s="9">
        <v>77000</v>
      </c>
      <c r="C36" s="9">
        <v>74000</v>
      </c>
      <c r="D36" s="9">
        <v>77000</v>
      </c>
      <c r="E36" s="9">
        <v>75000</v>
      </c>
      <c r="F36" s="9">
        <v>72000</v>
      </c>
      <c r="G36" s="9">
        <v>75000</v>
      </c>
      <c r="H36" s="9">
        <v>84000</v>
      </c>
      <c r="I36" s="9">
        <v>79000</v>
      </c>
      <c r="J36" s="9">
        <v>84000</v>
      </c>
      <c r="K36" s="9">
        <v>96000</v>
      </c>
      <c r="L36" s="13" t="s">
        <v>220</v>
      </c>
      <c r="M36" s="9">
        <v>100000</v>
      </c>
      <c r="N36" s="13" t="s">
        <v>220</v>
      </c>
      <c r="O36" s="13" t="s">
        <v>220</v>
      </c>
      <c r="P36" s="13" t="s">
        <v>220</v>
      </c>
    </row>
    <row r="37" spans="1:16" ht="12.45" customHeight="1">
      <c r="A37" s="12" t="s">
        <v>324</v>
      </c>
      <c r="B37" s="9">
        <v>100000</v>
      </c>
      <c r="C37" s="9">
        <v>100000</v>
      </c>
      <c r="D37" s="9">
        <v>100000</v>
      </c>
      <c r="E37" s="9">
        <v>95000</v>
      </c>
      <c r="F37" s="9">
        <v>99000</v>
      </c>
      <c r="G37" s="9">
        <v>95000</v>
      </c>
      <c r="H37" s="9">
        <v>106000</v>
      </c>
      <c r="I37" s="9">
        <v>102000</v>
      </c>
      <c r="J37" s="9">
        <v>110000</v>
      </c>
      <c r="K37" s="9">
        <v>114000</v>
      </c>
      <c r="L37" s="9">
        <v>101000</v>
      </c>
      <c r="M37" s="9">
        <v>119000</v>
      </c>
      <c r="N37" s="13" t="s">
        <v>220</v>
      </c>
      <c r="O37" s="13" t="s">
        <v>220</v>
      </c>
      <c r="P37" s="13" t="s">
        <v>220</v>
      </c>
    </row>
    <row r="38" spans="1:16" ht="12.45" customHeight="1">
      <c r="A38" s="12" t="s">
        <v>325</v>
      </c>
      <c r="B38" s="9">
        <v>120000</v>
      </c>
      <c r="C38" s="9">
        <v>119000</v>
      </c>
      <c r="D38" s="9">
        <v>120000</v>
      </c>
      <c r="E38" s="9">
        <v>110000</v>
      </c>
      <c r="F38" s="9">
        <v>106000</v>
      </c>
      <c r="G38" s="9">
        <v>111000</v>
      </c>
      <c r="H38" s="9">
        <v>123000</v>
      </c>
      <c r="I38" s="9">
        <v>126000</v>
      </c>
      <c r="J38" s="9">
        <v>122000</v>
      </c>
      <c r="K38" s="9">
        <v>137000</v>
      </c>
      <c r="L38" s="9">
        <v>113000</v>
      </c>
      <c r="M38" s="9">
        <v>147000</v>
      </c>
      <c r="N38" s="13" t="s">
        <v>220</v>
      </c>
      <c r="O38" s="13" t="s">
        <v>220</v>
      </c>
      <c r="P38" s="13" t="s">
        <v>220</v>
      </c>
    </row>
    <row r="39" spans="1:16" ht="12.45" customHeight="1">
      <c r="A39" s="12" t="s">
        <v>326</v>
      </c>
      <c r="B39" s="9">
        <v>125000</v>
      </c>
      <c r="C39" s="9">
        <v>121000</v>
      </c>
      <c r="D39" s="9">
        <v>126000</v>
      </c>
      <c r="E39" s="9">
        <v>119000</v>
      </c>
      <c r="F39" s="9">
        <v>112000</v>
      </c>
      <c r="G39" s="9">
        <v>119000</v>
      </c>
      <c r="H39" s="9">
        <v>133000</v>
      </c>
      <c r="I39" s="9">
        <v>131000</v>
      </c>
      <c r="J39" s="9">
        <v>133000</v>
      </c>
      <c r="K39" s="9">
        <v>154000</v>
      </c>
      <c r="L39" s="9">
        <v>147000</v>
      </c>
      <c r="M39" s="9">
        <v>156000</v>
      </c>
      <c r="N39" s="13" t="s">
        <v>220</v>
      </c>
      <c r="O39" s="13" t="s">
        <v>220</v>
      </c>
      <c r="P39" s="13" t="s">
        <v>220</v>
      </c>
    </row>
  </sheetData>
  <mergeCells count="7">
    <mergeCell ref="A1:Q1"/>
    <mergeCell ref="A3:A4"/>
    <mergeCell ref="B3:D3"/>
    <mergeCell ref="E3:G3"/>
    <mergeCell ref="H3:J3"/>
    <mergeCell ref="K3:M3"/>
    <mergeCell ref="N3:P3"/>
  </mergeCell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0" tint="-0.249977111117893"/>
  </sheetPr>
  <dimension ref="A1:Q16"/>
  <sheetViews>
    <sheetView workbookViewId="0">
      <selection sqref="A1:Z1"/>
    </sheetView>
  </sheetViews>
  <sheetFormatPr defaultRowHeight="13.2"/>
  <cols>
    <col min="1" max="1" width="53.33203125" customWidth="1"/>
    <col min="2" max="2" width="10.44140625" customWidth="1"/>
    <col min="3" max="3" width="10.109375" customWidth="1"/>
    <col min="4" max="4" width="10.44140625" customWidth="1"/>
    <col min="5" max="5" width="10.109375" customWidth="1"/>
    <col min="6" max="7" width="10.44140625" customWidth="1"/>
    <col min="8" max="8" width="10.109375" customWidth="1"/>
    <col min="9" max="10" width="10.44140625" customWidth="1"/>
    <col min="11" max="11" width="10.109375" customWidth="1"/>
    <col min="12" max="13" width="10.44140625" customWidth="1"/>
    <col min="14" max="14" width="10.109375" customWidth="1"/>
    <col min="15" max="16" width="10.44140625" customWidth="1"/>
    <col min="17" max="17" width="2.44140625" customWidth="1"/>
  </cols>
  <sheetData>
    <row r="1" spans="1:17" ht="42.75" customHeight="1">
      <c r="A1" s="321" t="s">
        <v>431</v>
      </c>
      <c r="B1" s="321"/>
      <c r="C1" s="321"/>
      <c r="D1" s="321"/>
      <c r="E1" s="321"/>
      <c r="F1" s="321"/>
      <c r="G1" s="321"/>
      <c r="H1" s="321"/>
      <c r="I1" s="321"/>
      <c r="J1" s="321"/>
      <c r="K1" s="321"/>
      <c r="L1" s="321"/>
      <c r="M1" s="321"/>
      <c r="N1" s="321"/>
      <c r="O1" s="321"/>
      <c r="P1" s="321"/>
      <c r="Q1" s="321"/>
    </row>
    <row r="2" spans="1:17" ht="13.95" customHeight="1">
      <c r="A2" s="339" t="s">
        <v>312</v>
      </c>
      <c r="B2" s="330" t="s">
        <v>232</v>
      </c>
      <c r="C2" s="331"/>
      <c r="D2" s="332"/>
      <c r="E2" s="330" t="s">
        <v>218</v>
      </c>
      <c r="F2" s="331"/>
      <c r="G2" s="332"/>
      <c r="H2" s="330" t="s">
        <v>219</v>
      </c>
      <c r="I2" s="331"/>
      <c r="J2" s="332"/>
      <c r="K2" s="330" t="s">
        <v>221</v>
      </c>
      <c r="L2" s="331"/>
      <c r="M2" s="332"/>
      <c r="N2" s="377" t="s">
        <v>223</v>
      </c>
      <c r="O2" s="378"/>
      <c r="P2" s="379"/>
    </row>
    <row r="3" spans="1:17" ht="13.95" customHeight="1">
      <c r="A3" s="341"/>
      <c r="B3" s="5" t="s">
        <v>167</v>
      </c>
      <c r="C3" s="5" t="s">
        <v>282</v>
      </c>
      <c r="D3" s="5" t="s">
        <v>283</v>
      </c>
      <c r="E3" s="5" t="s">
        <v>167</v>
      </c>
      <c r="F3" s="5" t="s">
        <v>282</v>
      </c>
      <c r="G3" s="5" t="s">
        <v>283</v>
      </c>
      <c r="H3" s="5" t="s">
        <v>167</v>
      </c>
      <c r="I3" s="5" t="s">
        <v>282</v>
      </c>
      <c r="J3" s="5" t="s">
        <v>283</v>
      </c>
      <c r="K3" s="5" t="s">
        <v>167</v>
      </c>
      <c r="L3" s="5" t="s">
        <v>282</v>
      </c>
      <c r="M3" s="5" t="s">
        <v>283</v>
      </c>
      <c r="N3" s="5" t="s">
        <v>167</v>
      </c>
      <c r="O3" s="5" t="s">
        <v>282</v>
      </c>
      <c r="P3" s="5" t="s">
        <v>283</v>
      </c>
    </row>
    <row r="4" spans="1:17" ht="12.45" customHeight="1">
      <c r="A4" s="17" t="s">
        <v>175</v>
      </c>
      <c r="B4" s="7">
        <v>83000</v>
      </c>
      <c r="C4" s="7">
        <v>75000</v>
      </c>
      <c r="D4" s="7">
        <v>100000</v>
      </c>
      <c r="E4" s="7">
        <v>70000</v>
      </c>
      <c r="F4" s="7">
        <v>66000</v>
      </c>
      <c r="G4" s="7">
        <v>80000</v>
      </c>
      <c r="H4" s="7">
        <v>88000</v>
      </c>
      <c r="I4" s="7">
        <v>81000</v>
      </c>
      <c r="J4" s="7">
        <v>100000</v>
      </c>
      <c r="K4" s="7">
        <v>100000</v>
      </c>
      <c r="L4" s="7">
        <v>94000</v>
      </c>
      <c r="M4" s="7">
        <v>115000</v>
      </c>
      <c r="N4" s="7">
        <v>150000</v>
      </c>
      <c r="O4" s="7">
        <v>127000</v>
      </c>
      <c r="P4" s="7">
        <v>194000</v>
      </c>
    </row>
    <row r="5" spans="1:17" ht="12.45" customHeight="1">
      <c r="A5" s="10" t="s">
        <v>323</v>
      </c>
      <c r="B5" s="9">
        <v>58000</v>
      </c>
      <c r="C5" s="9">
        <v>58000</v>
      </c>
      <c r="D5" s="9">
        <v>60000</v>
      </c>
      <c r="E5" s="9">
        <v>56000</v>
      </c>
      <c r="F5" s="9">
        <v>55000</v>
      </c>
      <c r="G5" s="9">
        <v>56000</v>
      </c>
      <c r="H5" s="9">
        <v>63000</v>
      </c>
      <c r="I5" s="9">
        <v>62000</v>
      </c>
      <c r="J5" s="9">
        <v>65000</v>
      </c>
      <c r="K5" s="9">
        <v>75000</v>
      </c>
      <c r="L5" s="9">
        <v>72000</v>
      </c>
      <c r="M5" s="9">
        <v>79000</v>
      </c>
      <c r="N5" s="9">
        <v>64000</v>
      </c>
      <c r="O5" s="9">
        <v>58000</v>
      </c>
      <c r="P5" s="9">
        <v>74000</v>
      </c>
    </row>
    <row r="6" spans="1:17" ht="12.45" customHeight="1">
      <c r="A6" s="10" t="s">
        <v>324</v>
      </c>
      <c r="B6" s="9">
        <v>79000</v>
      </c>
      <c r="C6" s="9">
        <v>74000</v>
      </c>
      <c r="D6" s="9">
        <v>88000</v>
      </c>
      <c r="E6" s="9">
        <v>67000</v>
      </c>
      <c r="F6" s="9">
        <v>65000</v>
      </c>
      <c r="G6" s="9">
        <v>74000</v>
      </c>
      <c r="H6" s="9">
        <v>85000</v>
      </c>
      <c r="I6" s="9">
        <v>80000</v>
      </c>
      <c r="J6" s="9">
        <v>96000</v>
      </c>
      <c r="K6" s="9">
        <v>90000</v>
      </c>
      <c r="L6" s="9">
        <v>89000</v>
      </c>
      <c r="M6" s="9">
        <v>95000</v>
      </c>
      <c r="N6" s="9">
        <v>139000</v>
      </c>
      <c r="O6" s="9">
        <v>135000</v>
      </c>
      <c r="P6" s="9">
        <v>150000</v>
      </c>
    </row>
    <row r="7" spans="1:17" ht="12.45" customHeight="1">
      <c r="A7" s="10" t="s">
        <v>325</v>
      </c>
      <c r="B7" s="9">
        <v>92000</v>
      </c>
      <c r="C7" s="9">
        <v>84000</v>
      </c>
      <c r="D7" s="9">
        <v>116000</v>
      </c>
      <c r="E7" s="9">
        <v>82000</v>
      </c>
      <c r="F7" s="9">
        <v>75000</v>
      </c>
      <c r="G7" s="9">
        <v>94000</v>
      </c>
      <c r="H7" s="9">
        <v>90000</v>
      </c>
      <c r="I7" s="9">
        <v>83000</v>
      </c>
      <c r="J7" s="9">
        <v>100000</v>
      </c>
      <c r="K7" s="9">
        <v>126000</v>
      </c>
      <c r="L7" s="9">
        <v>104000</v>
      </c>
      <c r="M7" s="9">
        <v>155000</v>
      </c>
      <c r="N7" s="9">
        <v>214000</v>
      </c>
      <c r="O7" s="9">
        <v>147000</v>
      </c>
      <c r="P7" s="9">
        <v>243000</v>
      </c>
    </row>
    <row r="8" spans="1:17" ht="12.45" customHeight="1">
      <c r="A8" s="10" t="s">
        <v>326</v>
      </c>
      <c r="B8" s="9">
        <v>99000</v>
      </c>
      <c r="C8" s="9">
        <v>85000</v>
      </c>
      <c r="D8" s="9">
        <v>120000</v>
      </c>
      <c r="E8" s="9">
        <v>89000</v>
      </c>
      <c r="F8" s="9">
        <v>76000</v>
      </c>
      <c r="G8" s="9">
        <v>100000</v>
      </c>
      <c r="H8" s="9">
        <v>95000</v>
      </c>
      <c r="I8" s="9">
        <v>90000</v>
      </c>
      <c r="J8" s="9">
        <v>110000</v>
      </c>
      <c r="K8" s="9">
        <v>119000</v>
      </c>
      <c r="L8" s="9">
        <v>100000</v>
      </c>
      <c r="M8" s="9">
        <v>127000</v>
      </c>
      <c r="N8" s="9">
        <v>198000</v>
      </c>
      <c r="O8" s="9">
        <v>149000</v>
      </c>
      <c r="P8" s="9">
        <v>218000</v>
      </c>
    </row>
    <row r="9" spans="1:17" ht="12.45" customHeight="1">
      <c r="A9" s="8" t="s">
        <v>176</v>
      </c>
      <c r="B9" s="9">
        <v>70000</v>
      </c>
      <c r="C9" s="9">
        <v>62000</v>
      </c>
      <c r="D9" s="9">
        <v>80000</v>
      </c>
      <c r="E9" s="9">
        <v>64000</v>
      </c>
      <c r="F9" s="9">
        <v>55000</v>
      </c>
      <c r="G9" s="9">
        <v>75000</v>
      </c>
      <c r="H9" s="9">
        <v>75000</v>
      </c>
      <c r="I9" s="9">
        <v>69000</v>
      </c>
      <c r="J9" s="9">
        <v>92000</v>
      </c>
      <c r="K9" s="9">
        <v>95000</v>
      </c>
      <c r="L9" s="9">
        <v>90000</v>
      </c>
      <c r="M9" s="9">
        <v>100000</v>
      </c>
      <c r="N9" s="9">
        <v>119000</v>
      </c>
      <c r="O9" s="9">
        <v>100000</v>
      </c>
      <c r="P9" s="9">
        <v>143000</v>
      </c>
    </row>
    <row r="10" spans="1:17" ht="12.45" customHeight="1">
      <c r="A10" s="10" t="s">
        <v>323</v>
      </c>
      <c r="B10" s="9">
        <v>50000</v>
      </c>
      <c r="C10" s="9">
        <v>47000</v>
      </c>
      <c r="D10" s="9">
        <v>52000</v>
      </c>
      <c r="E10" s="9">
        <v>47000</v>
      </c>
      <c r="F10" s="9">
        <v>45000</v>
      </c>
      <c r="G10" s="9">
        <v>52000</v>
      </c>
      <c r="H10" s="9">
        <v>55000</v>
      </c>
      <c r="I10" s="9">
        <v>55000</v>
      </c>
      <c r="J10" s="9">
        <v>59000</v>
      </c>
      <c r="K10" s="13" t="s">
        <v>191</v>
      </c>
      <c r="L10" s="13" t="s">
        <v>191</v>
      </c>
      <c r="M10" s="13" t="s">
        <v>191</v>
      </c>
      <c r="N10" s="9">
        <v>65000</v>
      </c>
      <c r="O10" s="9">
        <v>55000</v>
      </c>
      <c r="P10" s="9">
        <v>86000</v>
      </c>
    </row>
    <row r="11" spans="1:17" ht="12.45" customHeight="1">
      <c r="A11" s="10" t="s">
        <v>324</v>
      </c>
      <c r="B11" s="9">
        <v>67000</v>
      </c>
      <c r="C11" s="9">
        <v>61000</v>
      </c>
      <c r="D11" s="9">
        <v>75000</v>
      </c>
      <c r="E11" s="9">
        <v>63000</v>
      </c>
      <c r="F11" s="9">
        <v>56000</v>
      </c>
      <c r="G11" s="9">
        <v>70000</v>
      </c>
      <c r="H11" s="9">
        <v>70000</v>
      </c>
      <c r="I11" s="9">
        <v>65000</v>
      </c>
      <c r="J11" s="9">
        <v>82000</v>
      </c>
      <c r="K11" s="9">
        <v>91000</v>
      </c>
      <c r="L11" s="9">
        <v>85000</v>
      </c>
      <c r="M11" s="9">
        <v>102000</v>
      </c>
      <c r="N11" s="9">
        <v>106000</v>
      </c>
      <c r="O11" s="9">
        <v>100000</v>
      </c>
      <c r="P11" s="9">
        <v>119000</v>
      </c>
    </row>
    <row r="12" spans="1:17" ht="12.45" customHeight="1">
      <c r="A12" s="10" t="s">
        <v>325</v>
      </c>
      <c r="B12" s="9">
        <v>79000</v>
      </c>
      <c r="C12" s="9">
        <v>70000</v>
      </c>
      <c r="D12" s="9">
        <v>94000</v>
      </c>
      <c r="E12" s="9">
        <v>72000</v>
      </c>
      <c r="F12" s="9">
        <v>60000</v>
      </c>
      <c r="G12" s="9">
        <v>85000</v>
      </c>
      <c r="H12" s="9">
        <v>80000</v>
      </c>
      <c r="I12" s="9">
        <v>73000</v>
      </c>
      <c r="J12" s="9">
        <v>99000</v>
      </c>
      <c r="K12" s="9">
        <v>91000</v>
      </c>
      <c r="L12" s="9">
        <v>86000</v>
      </c>
      <c r="M12" s="9">
        <v>100000</v>
      </c>
      <c r="N12" s="9">
        <v>120000</v>
      </c>
      <c r="O12" s="9">
        <v>108000</v>
      </c>
      <c r="P12" s="9">
        <v>143000</v>
      </c>
    </row>
    <row r="13" spans="1:17" ht="12.45" customHeight="1">
      <c r="A13" s="20" t="s">
        <v>326</v>
      </c>
      <c r="B13" s="21">
        <v>80000</v>
      </c>
      <c r="C13" s="21">
        <v>68000</v>
      </c>
      <c r="D13" s="21">
        <v>94000</v>
      </c>
      <c r="E13" s="21">
        <v>72000</v>
      </c>
      <c r="F13" s="21">
        <v>60000</v>
      </c>
      <c r="G13" s="21">
        <v>80000</v>
      </c>
      <c r="H13" s="21">
        <v>88000</v>
      </c>
      <c r="I13" s="21">
        <v>79000</v>
      </c>
      <c r="J13" s="21">
        <v>110000</v>
      </c>
      <c r="K13" s="21">
        <v>96000</v>
      </c>
      <c r="L13" s="21">
        <v>95000</v>
      </c>
      <c r="M13" s="21">
        <v>103000</v>
      </c>
      <c r="N13" s="21">
        <v>149000</v>
      </c>
      <c r="O13" s="21">
        <v>116000</v>
      </c>
      <c r="P13" s="21">
        <v>150000</v>
      </c>
    </row>
    <row r="14" spans="1:17" ht="11.25" customHeight="1">
      <c r="A14" s="344" t="s">
        <v>224</v>
      </c>
      <c r="B14" s="344"/>
      <c r="C14" s="344"/>
      <c r="D14" s="344"/>
      <c r="E14" s="344"/>
      <c r="F14" s="344"/>
      <c r="G14" s="344"/>
      <c r="H14" s="344"/>
      <c r="I14" s="344"/>
      <c r="J14" s="344"/>
      <c r="K14" s="344"/>
      <c r="L14" s="344"/>
      <c r="M14" s="344"/>
      <c r="N14" s="344"/>
      <c r="O14" s="344"/>
      <c r="P14" s="344"/>
      <c r="Q14" s="344"/>
    </row>
    <row r="15" spans="1:17" ht="70.2" customHeight="1">
      <c r="A15" s="321" t="s">
        <v>432</v>
      </c>
      <c r="B15" s="321"/>
      <c r="C15" s="321"/>
      <c r="D15" s="321"/>
      <c r="E15" s="321"/>
      <c r="F15" s="321"/>
      <c r="G15" s="321"/>
      <c r="H15" s="321"/>
      <c r="I15" s="321"/>
      <c r="J15" s="321"/>
      <c r="K15" s="321"/>
      <c r="L15" s="321"/>
      <c r="M15" s="321"/>
      <c r="N15" s="321"/>
      <c r="O15" s="321"/>
      <c r="P15" s="321"/>
      <c r="Q15" s="321"/>
    </row>
    <row r="16" spans="1:17" ht="1.95" customHeight="1"/>
  </sheetData>
  <mergeCells count="9">
    <mergeCell ref="A14:Q14"/>
    <mergeCell ref="A15:Q15"/>
    <mergeCell ref="A1:Q1"/>
    <mergeCell ref="A2:A3"/>
    <mergeCell ref="B2:D2"/>
    <mergeCell ref="E2:G2"/>
    <mergeCell ref="H2:J2"/>
    <mergeCell ref="K2:M2"/>
    <mergeCell ref="N2:P2"/>
  </mergeCell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1" t="s">
        <v>433</v>
      </c>
      <c r="B1" s="321"/>
      <c r="C1" s="321"/>
      <c r="D1" s="321"/>
      <c r="E1" s="321"/>
      <c r="F1" s="321"/>
      <c r="G1" s="321"/>
      <c r="H1" s="321"/>
      <c r="I1" s="321"/>
      <c r="J1" s="321"/>
      <c r="K1" s="321"/>
      <c r="L1" s="321"/>
      <c r="M1" s="321"/>
      <c r="N1" s="321"/>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24.75" customHeight="1">
      <c r="A5" s="6" t="s">
        <v>334</v>
      </c>
      <c r="B5" s="29">
        <v>77000</v>
      </c>
      <c r="C5" s="64">
        <v>68000</v>
      </c>
      <c r="D5" s="29">
        <v>59000</v>
      </c>
      <c r="E5" s="29">
        <v>95000</v>
      </c>
      <c r="F5" s="29">
        <v>63000</v>
      </c>
      <c r="G5" s="29">
        <v>84000</v>
      </c>
      <c r="H5" s="65">
        <v>79000</v>
      </c>
      <c r="I5" s="29">
        <v>75000</v>
      </c>
      <c r="J5" s="29">
        <v>78000</v>
      </c>
      <c r="K5" s="29">
        <v>70000</v>
      </c>
      <c r="L5" s="29">
        <v>76000</v>
      </c>
      <c r="M5" s="29">
        <v>87000</v>
      </c>
    </row>
    <row r="6" spans="1:14" ht="12.45" customHeight="1">
      <c r="A6" s="8" t="s">
        <v>323</v>
      </c>
      <c r="B6" s="9">
        <v>55000</v>
      </c>
      <c r="C6" s="66">
        <v>50000</v>
      </c>
      <c r="D6" s="13" t="s">
        <v>191</v>
      </c>
      <c r="E6" s="9">
        <v>67000</v>
      </c>
      <c r="F6" s="9">
        <v>46000</v>
      </c>
      <c r="G6" s="9">
        <v>52000</v>
      </c>
      <c r="H6" s="34">
        <v>55000</v>
      </c>
      <c r="I6" s="9">
        <v>59000</v>
      </c>
      <c r="J6" s="9">
        <v>56000</v>
      </c>
      <c r="K6" s="9">
        <v>48000</v>
      </c>
      <c r="L6" s="9">
        <v>55000</v>
      </c>
      <c r="M6" s="9">
        <v>70000</v>
      </c>
    </row>
    <row r="7" spans="1:14" ht="12.45" customHeight="1">
      <c r="A7" s="8" t="s">
        <v>324</v>
      </c>
      <c r="B7" s="9">
        <v>75000</v>
      </c>
      <c r="C7" s="66">
        <v>67000</v>
      </c>
      <c r="D7" s="9">
        <v>56000</v>
      </c>
      <c r="E7" s="9">
        <v>95000</v>
      </c>
      <c r="F7" s="9">
        <v>60000</v>
      </c>
      <c r="G7" s="13" t="s">
        <v>191</v>
      </c>
      <c r="H7" s="34">
        <v>75000</v>
      </c>
      <c r="I7" s="9">
        <v>85000</v>
      </c>
      <c r="J7" s="9">
        <v>75000</v>
      </c>
      <c r="K7" s="9">
        <v>65000</v>
      </c>
      <c r="L7" s="9">
        <v>74000</v>
      </c>
      <c r="M7" s="9">
        <v>92000</v>
      </c>
    </row>
    <row r="8" spans="1:14" ht="12.45" customHeight="1">
      <c r="A8" s="8" t="s">
        <v>325</v>
      </c>
      <c r="B8" s="9">
        <v>85000</v>
      </c>
      <c r="C8" s="66">
        <v>80000</v>
      </c>
      <c r="D8" s="9">
        <v>81000</v>
      </c>
      <c r="E8" s="9">
        <v>110000</v>
      </c>
      <c r="F8" s="9">
        <v>70000</v>
      </c>
      <c r="G8" s="9">
        <v>84000</v>
      </c>
      <c r="H8" s="34">
        <v>86000</v>
      </c>
      <c r="I8" s="9">
        <v>80000</v>
      </c>
      <c r="J8" s="9">
        <v>88000</v>
      </c>
      <c r="K8" s="9">
        <v>75000</v>
      </c>
      <c r="L8" s="9">
        <v>85000</v>
      </c>
      <c r="M8" s="9">
        <v>100000</v>
      </c>
    </row>
    <row r="9" spans="1:14" ht="12.45" customHeight="1">
      <c r="A9" s="8" t="s">
        <v>326</v>
      </c>
      <c r="B9" s="9">
        <v>89000</v>
      </c>
      <c r="C9" s="66">
        <v>78000</v>
      </c>
      <c r="D9" s="9">
        <v>61000</v>
      </c>
      <c r="E9" s="9">
        <v>100000</v>
      </c>
      <c r="F9" s="9">
        <v>71000</v>
      </c>
      <c r="G9" s="9">
        <v>111000</v>
      </c>
      <c r="H9" s="34">
        <v>90000</v>
      </c>
      <c r="I9" s="9">
        <v>94000</v>
      </c>
      <c r="J9" s="9">
        <v>90000</v>
      </c>
      <c r="K9" s="9">
        <v>80000</v>
      </c>
      <c r="L9" s="9">
        <v>89000</v>
      </c>
      <c r="M9" s="9">
        <v>70000</v>
      </c>
    </row>
    <row r="10" spans="1:14" ht="12.45" customHeight="1">
      <c r="A10" s="13" t="s">
        <v>174</v>
      </c>
      <c r="B10" s="9">
        <v>99000</v>
      </c>
      <c r="C10" s="66">
        <v>85000</v>
      </c>
      <c r="D10" s="9">
        <v>71000</v>
      </c>
      <c r="E10" s="9">
        <v>110000</v>
      </c>
      <c r="F10" s="9">
        <v>87000</v>
      </c>
      <c r="G10" s="9">
        <v>89000</v>
      </c>
      <c r="H10" s="34">
        <v>98000</v>
      </c>
      <c r="I10" s="9">
        <v>93000</v>
      </c>
      <c r="J10" s="9">
        <v>100000</v>
      </c>
      <c r="K10" s="9">
        <v>94000</v>
      </c>
      <c r="L10" s="9">
        <v>97000</v>
      </c>
      <c r="M10" s="9">
        <v>106000</v>
      </c>
    </row>
    <row r="11" spans="1:14" ht="12.45" customHeight="1">
      <c r="A11" s="13" t="s">
        <v>323</v>
      </c>
      <c r="B11" s="9">
        <v>73000</v>
      </c>
      <c r="C11" s="66">
        <v>64000</v>
      </c>
      <c r="D11" s="13" t="s">
        <v>191</v>
      </c>
      <c r="E11" s="9">
        <v>84000</v>
      </c>
      <c r="F11" s="9">
        <v>66000</v>
      </c>
      <c r="G11" s="13" t="s">
        <v>220</v>
      </c>
      <c r="H11" s="34">
        <v>72000</v>
      </c>
      <c r="I11" s="9">
        <v>69000</v>
      </c>
      <c r="J11" s="9">
        <v>73000</v>
      </c>
      <c r="K11" s="9">
        <v>65000</v>
      </c>
      <c r="L11" s="9">
        <v>72000</v>
      </c>
      <c r="M11" s="9">
        <v>85000</v>
      </c>
    </row>
    <row r="12" spans="1:14" ht="12.45" customHeight="1">
      <c r="A12" s="10" t="s">
        <v>324</v>
      </c>
      <c r="B12" s="9">
        <v>96000</v>
      </c>
      <c r="C12" s="66">
        <v>88000</v>
      </c>
      <c r="D12" s="9">
        <v>73000</v>
      </c>
      <c r="E12" s="9">
        <v>107000</v>
      </c>
      <c r="F12" s="9">
        <v>85000</v>
      </c>
      <c r="G12" s="9">
        <v>116000</v>
      </c>
      <c r="H12" s="34">
        <v>95000</v>
      </c>
      <c r="I12" s="9">
        <v>94000</v>
      </c>
      <c r="J12" s="9">
        <v>97000</v>
      </c>
      <c r="K12" s="9">
        <v>83000</v>
      </c>
      <c r="L12" s="9">
        <v>94000</v>
      </c>
      <c r="M12" s="9">
        <v>108000</v>
      </c>
    </row>
    <row r="13" spans="1:14" ht="12.45" customHeight="1">
      <c r="A13" s="10" t="s">
        <v>325</v>
      </c>
      <c r="B13" s="9">
        <v>110000</v>
      </c>
      <c r="C13" s="66">
        <v>102000</v>
      </c>
      <c r="D13" s="9">
        <v>105000</v>
      </c>
      <c r="E13" s="9">
        <v>120000</v>
      </c>
      <c r="F13" s="9">
        <v>89000</v>
      </c>
      <c r="G13" s="9">
        <v>114000</v>
      </c>
      <c r="H13" s="67">
        <v>107000</v>
      </c>
      <c r="I13" s="9">
        <v>116000</v>
      </c>
      <c r="J13" s="9">
        <v>110000</v>
      </c>
      <c r="K13" s="9">
        <v>100000</v>
      </c>
      <c r="L13" s="9">
        <v>109000</v>
      </c>
      <c r="M13" s="9">
        <v>116000</v>
      </c>
    </row>
    <row r="14" spans="1:14" ht="12.45" customHeight="1">
      <c r="A14" s="10" t="s">
        <v>326</v>
      </c>
      <c r="B14" s="9">
        <v>115000</v>
      </c>
      <c r="C14" s="66">
        <v>100000</v>
      </c>
      <c r="D14" s="9">
        <v>100000</v>
      </c>
      <c r="E14" s="9">
        <v>125000</v>
      </c>
      <c r="F14" s="9">
        <v>100000</v>
      </c>
      <c r="G14" s="9">
        <v>84000</v>
      </c>
      <c r="H14" s="67">
        <v>115000</v>
      </c>
      <c r="I14" s="9">
        <v>130000</v>
      </c>
      <c r="J14" s="9">
        <v>117000</v>
      </c>
      <c r="K14" s="9">
        <v>106000</v>
      </c>
      <c r="L14" s="9">
        <v>115000</v>
      </c>
      <c r="M14" s="9">
        <v>110000</v>
      </c>
    </row>
    <row r="15" spans="1:14" ht="49.5" customHeight="1">
      <c r="A15" s="10" t="s">
        <v>227</v>
      </c>
      <c r="B15" s="25">
        <v>72000</v>
      </c>
      <c r="C15" s="68">
        <v>63000</v>
      </c>
      <c r="D15" s="26" t="s">
        <v>220</v>
      </c>
      <c r="E15" s="25">
        <v>83000</v>
      </c>
      <c r="F15" s="25">
        <v>65000</v>
      </c>
      <c r="G15" s="26" t="s">
        <v>191</v>
      </c>
      <c r="H15" s="36">
        <v>72000</v>
      </c>
      <c r="I15" s="25">
        <v>36000</v>
      </c>
      <c r="J15" s="25">
        <v>73000</v>
      </c>
      <c r="K15" s="25">
        <v>65000</v>
      </c>
      <c r="L15" s="25">
        <v>75000</v>
      </c>
      <c r="M15" s="25">
        <v>60000</v>
      </c>
    </row>
    <row r="16" spans="1:14" ht="24.75" customHeight="1">
      <c r="A16" s="12" t="s">
        <v>323</v>
      </c>
      <c r="B16" s="11">
        <v>39000</v>
      </c>
      <c r="C16" s="69">
        <v>35000</v>
      </c>
      <c r="D16" s="16" t="s">
        <v>220</v>
      </c>
      <c r="E16" s="11">
        <v>40000</v>
      </c>
      <c r="F16" s="11">
        <v>44000</v>
      </c>
      <c r="G16" s="16" t="s">
        <v>220</v>
      </c>
      <c r="H16" s="37">
        <v>39000</v>
      </c>
      <c r="I16" s="16" t="s">
        <v>191</v>
      </c>
      <c r="J16" s="11">
        <v>39000</v>
      </c>
      <c r="K16" s="11">
        <v>36000</v>
      </c>
      <c r="L16" s="11">
        <v>39000</v>
      </c>
      <c r="M16" s="11">
        <v>39000</v>
      </c>
    </row>
    <row r="17" spans="1:13" ht="12.45" customHeight="1">
      <c r="A17" s="12" t="s">
        <v>324</v>
      </c>
      <c r="B17" s="9">
        <v>64000</v>
      </c>
      <c r="C17" s="66">
        <v>62000</v>
      </c>
      <c r="D17" s="13" t="s">
        <v>220</v>
      </c>
      <c r="E17" s="9">
        <v>70000</v>
      </c>
      <c r="F17" s="9">
        <v>56000</v>
      </c>
      <c r="G17" s="13" t="s">
        <v>220</v>
      </c>
      <c r="H17" s="34">
        <v>64000</v>
      </c>
      <c r="I17" s="9">
        <v>65000</v>
      </c>
      <c r="J17" s="9">
        <v>65000</v>
      </c>
      <c r="K17" s="9">
        <v>54000</v>
      </c>
      <c r="L17" s="9">
        <v>68000</v>
      </c>
      <c r="M17" s="9">
        <v>57000</v>
      </c>
    </row>
    <row r="18" spans="1:13" ht="12.45" customHeight="1">
      <c r="A18" s="12" t="s">
        <v>325</v>
      </c>
      <c r="B18" s="9">
        <v>90000</v>
      </c>
      <c r="C18" s="66">
        <v>79000</v>
      </c>
      <c r="D18" s="13" t="s">
        <v>220</v>
      </c>
      <c r="E18" s="9">
        <v>108000</v>
      </c>
      <c r="F18" s="9">
        <v>91000</v>
      </c>
      <c r="G18" s="13" t="s">
        <v>220</v>
      </c>
      <c r="H18" s="34">
        <v>87000</v>
      </c>
      <c r="I18" s="9">
        <v>72000</v>
      </c>
      <c r="J18" s="9">
        <v>90000</v>
      </c>
      <c r="K18" s="9">
        <v>90000</v>
      </c>
      <c r="L18" s="9">
        <v>93000</v>
      </c>
      <c r="M18" s="9">
        <v>75000</v>
      </c>
    </row>
    <row r="19" spans="1:13" ht="12.45" customHeight="1">
      <c r="A19" s="12" t="s">
        <v>326</v>
      </c>
      <c r="B19" s="9">
        <v>105000</v>
      </c>
      <c r="C19" s="66">
        <v>72000</v>
      </c>
      <c r="D19" s="13" t="s">
        <v>220</v>
      </c>
      <c r="E19" s="9">
        <v>112000</v>
      </c>
      <c r="F19" s="9">
        <v>108000</v>
      </c>
      <c r="G19" s="13" t="s">
        <v>220</v>
      </c>
      <c r="H19" s="67">
        <v>105000</v>
      </c>
      <c r="I19" s="9">
        <v>105000</v>
      </c>
      <c r="J19" s="9">
        <v>110000</v>
      </c>
      <c r="K19" s="9">
        <v>96000</v>
      </c>
      <c r="L19" s="9">
        <v>108000</v>
      </c>
      <c r="M19" s="9">
        <v>85000</v>
      </c>
    </row>
    <row r="20" spans="1:13" ht="36.75" customHeight="1">
      <c r="A20" s="10" t="s">
        <v>228</v>
      </c>
      <c r="B20" s="25">
        <v>104000</v>
      </c>
      <c r="C20" s="68">
        <v>95000</v>
      </c>
      <c r="D20" s="25">
        <v>56000</v>
      </c>
      <c r="E20" s="25">
        <v>118000</v>
      </c>
      <c r="F20" s="25">
        <v>88000</v>
      </c>
      <c r="G20" s="25">
        <v>82000</v>
      </c>
      <c r="H20" s="70">
        <v>100000</v>
      </c>
      <c r="I20" s="25">
        <v>107000</v>
      </c>
      <c r="J20" s="25">
        <v>104000</v>
      </c>
      <c r="K20" s="25">
        <v>100000</v>
      </c>
      <c r="L20" s="25">
        <v>100000</v>
      </c>
      <c r="M20" s="25">
        <v>120000</v>
      </c>
    </row>
    <row r="21" spans="1:13" ht="24.75" customHeight="1">
      <c r="A21" s="12" t="s">
        <v>323</v>
      </c>
      <c r="B21" s="11">
        <v>81000</v>
      </c>
      <c r="C21" s="69">
        <v>65000</v>
      </c>
      <c r="D21" s="16" t="s">
        <v>220</v>
      </c>
      <c r="E21" s="11">
        <v>95000</v>
      </c>
      <c r="F21" s="11">
        <v>67000</v>
      </c>
      <c r="G21" s="16" t="s">
        <v>220</v>
      </c>
      <c r="H21" s="37">
        <v>80000</v>
      </c>
      <c r="I21" s="11">
        <v>82000</v>
      </c>
      <c r="J21" s="11">
        <v>82000</v>
      </c>
      <c r="K21" s="11">
        <v>74000</v>
      </c>
      <c r="L21" s="11">
        <v>78000</v>
      </c>
      <c r="M21" s="11">
        <v>102000</v>
      </c>
    </row>
    <row r="22" spans="1:13" ht="12.45" customHeight="1">
      <c r="A22" s="12" t="s">
        <v>324</v>
      </c>
      <c r="B22" s="9">
        <v>102000</v>
      </c>
      <c r="C22" s="66">
        <v>94000</v>
      </c>
      <c r="D22" s="13" t="s">
        <v>191</v>
      </c>
      <c r="E22" s="9">
        <v>118000</v>
      </c>
      <c r="F22" s="9">
        <v>90000</v>
      </c>
      <c r="G22" s="13" t="s">
        <v>191</v>
      </c>
      <c r="H22" s="67">
        <v>100000</v>
      </c>
      <c r="I22" s="9">
        <v>100000</v>
      </c>
      <c r="J22" s="9">
        <v>104000</v>
      </c>
      <c r="K22" s="9">
        <v>92000</v>
      </c>
      <c r="L22" s="9">
        <v>98000</v>
      </c>
      <c r="M22" s="9">
        <v>122000</v>
      </c>
    </row>
    <row r="23" spans="1:13" ht="12.45" customHeight="1">
      <c r="A23" s="12" t="s">
        <v>325</v>
      </c>
      <c r="B23" s="9">
        <v>114000</v>
      </c>
      <c r="C23" s="66">
        <v>110000</v>
      </c>
      <c r="D23" s="13" t="s">
        <v>220</v>
      </c>
      <c r="E23" s="9">
        <v>120000</v>
      </c>
      <c r="F23" s="9">
        <v>89000</v>
      </c>
      <c r="G23" s="13" t="s">
        <v>220</v>
      </c>
      <c r="H23" s="67">
        <v>110000</v>
      </c>
      <c r="I23" s="9">
        <v>117000</v>
      </c>
      <c r="J23" s="9">
        <v>114000</v>
      </c>
      <c r="K23" s="9">
        <v>110000</v>
      </c>
      <c r="L23" s="9">
        <v>110000</v>
      </c>
      <c r="M23" s="9">
        <v>120000</v>
      </c>
    </row>
    <row r="24" spans="1:13" ht="12.45" customHeight="1">
      <c r="A24" s="12" t="s">
        <v>326</v>
      </c>
      <c r="B24" s="9">
        <v>112000</v>
      </c>
      <c r="C24" s="66">
        <v>97000</v>
      </c>
      <c r="D24" s="13" t="s">
        <v>220</v>
      </c>
      <c r="E24" s="9">
        <v>126000</v>
      </c>
      <c r="F24" s="9">
        <v>89000</v>
      </c>
      <c r="G24" s="13" t="s">
        <v>220</v>
      </c>
      <c r="H24" s="67">
        <v>110000</v>
      </c>
      <c r="I24" s="9">
        <v>135000</v>
      </c>
      <c r="J24" s="9">
        <v>112000</v>
      </c>
      <c r="K24" s="9">
        <v>110000</v>
      </c>
      <c r="L24" s="9">
        <v>111000</v>
      </c>
      <c r="M24" s="9">
        <v>119000</v>
      </c>
    </row>
    <row r="25" spans="1:13" ht="36.75" customHeight="1">
      <c r="A25" s="10" t="s">
        <v>229</v>
      </c>
      <c r="B25" s="25">
        <v>78000</v>
      </c>
      <c r="C25" s="68">
        <v>52000</v>
      </c>
      <c r="D25" s="25">
        <v>72000</v>
      </c>
      <c r="E25" s="25">
        <v>66000</v>
      </c>
      <c r="F25" s="25">
        <v>68000</v>
      </c>
      <c r="G25" s="26" t="s">
        <v>191</v>
      </c>
      <c r="H25" s="36">
        <v>81000</v>
      </c>
      <c r="I25" s="25">
        <v>71000</v>
      </c>
      <c r="J25" s="25">
        <v>80000</v>
      </c>
      <c r="K25" s="25">
        <v>72000</v>
      </c>
      <c r="L25" s="25">
        <v>80000</v>
      </c>
      <c r="M25" s="25">
        <v>56000</v>
      </c>
    </row>
    <row r="26" spans="1:13" ht="24.75" customHeight="1">
      <c r="A26" s="12" t="s">
        <v>323</v>
      </c>
      <c r="B26" s="11">
        <v>43000</v>
      </c>
      <c r="C26" s="69">
        <v>33000</v>
      </c>
      <c r="D26" s="16" t="s">
        <v>220</v>
      </c>
      <c r="E26" s="11">
        <v>33000</v>
      </c>
      <c r="F26" s="11">
        <v>51000</v>
      </c>
      <c r="G26" s="16" t="s">
        <v>220</v>
      </c>
      <c r="H26" s="37">
        <v>47000</v>
      </c>
      <c r="I26" s="11">
        <v>66000</v>
      </c>
      <c r="J26" s="11">
        <v>45000</v>
      </c>
      <c r="K26" s="11">
        <v>36000</v>
      </c>
      <c r="L26" s="11">
        <v>45000</v>
      </c>
      <c r="M26" s="11">
        <v>32000</v>
      </c>
    </row>
    <row r="27" spans="1:13" ht="12.45" customHeight="1">
      <c r="A27" s="12" t="s">
        <v>324</v>
      </c>
      <c r="B27" s="9">
        <v>72000</v>
      </c>
      <c r="C27" s="66">
        <v>62000</v>
      </c>
      <c r="D27" s="13" t="s">
        <v>220</v>
      </c>
      <c r="E27" s="9">
        <v>68000</v>
      </c>
      <c r="F27" s="9">
        <v>50000</v>
      </c>
      <c r="G27" s="13" t="s">
        <v>220</v>
      </c>
      <c r="H27" s="34">
        <v>72000</v>
      </c>
      <c r="I27" s="9">
        <v>95000</v>
      </c>
      <c r="J27" s="9">
        <v>72000</v>
      </c>
      <c r="K27" s="9">
        <v>67000</v>
      </c>
      <c r="L27" s="9">
        <v>73000</v>
      </c>
      <c r="M27" s="9">
        <v>63000</v>
      </c>
    </row>
    <row r="28" spans="1:13" ht="12.45" customHeight="1">
      <c r="A28" s="12" t="s">
        <v>325</v>
      </c>
      <c r="B28" s="9">
        <v>92000</v>
      </c>
      <c r="C28" s="66">
        <v>52000</v>
      </c>
      <c r="D28" s="13" t="s">
        <v>220</v>
      </c>
      <c r="E28" s="9">
        <v>90000</v>
      </c>
      <c r="F28" s="9">
        <v>72000</v>
      </c>
      <c r="G28" s="13" t="s">
        <v>220</v>
      </c>
      <c r="H28" s="34">
        <v>96000</v>
      </c>
      <c r="I28" s="9">
        <v>106000</v>
      </c>
      <c r="J28" s="9">
        <v>92000</v>
      </c>
      <c r="K28" s="9">
        <v>76000</v>
      </c>
      <c r="L28" s="9">
        <v>92000</v>
      </c>
      <c r="M28" s="9">
        <v>92000</v>
      </c>
    </row>
    <row r="29" spans="1:13" ht="12.45" customHeight="1">
      <c r="A29" s="12" t="s">
        <v>326</v>
      </c>
      <c r="B29" s="9">
        <v>105000</v>
      </c>
      <c r="C29" s="66">
        <v>84000</v>
      </c>
      <c r="D29" s="13" t="s">
        <v>191</v>
      </c>
      <c r="E29" s="9">
        <v>107000</v>
      </c>
      <c r="F29" s="9">
        <v>111000</v>
      </c>
      <c r="G29" s="13" t="s">
        <v>220</v>
      </c>
      <c r="H29" s="67">
        <v>105000</v>
      </c>
      <c r="I29" s="13" t="s">
        <v>222</v>
      </c>
      <c r="J29" s="9">
        <v>107000</v>
      </c>
      <c r="K29" s="9">
        <v>82000</v>
      </c>
      <c r="L29" s="9">
        <v>105000</v>
      </c>
      <c r="M29" s="9">
        <v>107000</v>
      </c>
    </row>
    <row r="30" spans="1:13" ht="36.75" customHeight="1">
      <c r="A30" s="10" t="s">
        <v>230</v>
      </c>
      <c r="B30" s="25">
        <v>78000</v>
      </c>
      <c r="C30" s="68">
        <v>78000</v>
      </c>
      <c r="D30" s="26" t="s">
        <v>220</v>
      </c>
      <c r="E30" s="25">
        <v>88000</v>
      </c>
      <c r="F30" s="25">
        <v>79000</v>
      </c>
      <c r="G30" s="26" t="s">
        <v>191</v>
      </c>
      <c r="H30" s="36">
        <v>78000</v>
      </c>
      <c r="I30" s="25">
        <v>64000</v>
      </c>
      <c r="J30" s="25">
        <v>80000</v>
      </c>
      <c r="K30" s="25">
        <v>71000</v>
      </c>
      <c r="L30" s="25">
        <v>78000</v>
      </c>
      <c r="M30" s="25">
        <v>70000</v>
      </c>
    </row>
    <row r="31" spans="1:13" ht="24.75" customHeight="1">
      <c r="A31" s="12" t="s">
        <v>323</v>
      </c>
      <c r="B31" s="11">
        <v>55000</v>
      </c>
      <c r="C31" s="69">
        <v>51000</v>
      </c>
      <c r="D31" s="16" t="s">
        <v>220</v>
      </c>
      <c r="E31" s="11">
        <v>43000</v>
      </c>
      <c r="F31" s="11">
        <v>56000</v>
      </c>
      <c r="G31" s="16" t="s">
        <v>220</v>
      </c>
      <c r="H31" s="37">
        <v>55000</v>
      </c>
      <c r="I31" s="16" t="s">
        <v>191</v>
      </c>
      <c r="J31" s="11">
        <v>55000</v>
      </c>
      <c r="K31" s="11">
        <v>48000</v>
      </c>
      <c r="L31" s="11">
        <v>55000</v>
      </c>
      <c r="M31" s="16" t="s">
        <v>191</v>
      </c>
    </row>
    <row r="32" spans="1:13" ht="12.45" customHeight="1">
      <c r="A32" s="12" t="s">
        <v>324</v>
      </c>
      <c r="B32" s="9">
        <v>78000</v>
      </c>
      <c r="C32" s="66">
        <v>78000</v>
      </c>
      <c r="D32" s="13" t="s">
        <v>220</v>
      </c>
      <c r="E32" s="9">
        <v>109000</v>
      </c>
      <c r="F32" s="9">
        <v>77000</v>
      </c>
      <c r="G32" s="13" t="s">
        <v>220</v>
      </c>
      <c r="H32" s="34">
        <v>77000</v>
      </c>
      <c r="I32" s="13" t="s">
        <v>191</v>
      </c>
      <c r="J32" s="9">
        <v>80000</v>
      </c>
      <c r="K32" s="9">
        <v>76000</v>
      </c>
      <c r="L32" s="9">
        <v>78000</v>
      </c>
      <c r="M32" s="13" t="s">
        <v>191</v>
      </c>
    </row>
    <row r="33" spans="1:13" ht="12.45" customHeight="1">
      <c r="A33" s="12" t="s">
        <v>325</v>
      </c>
      <c r="B33" s="9">
        <v>80000</v>
      </c>
      <c r="C33" s="66">
        <v>75000</v>
      </c>
      <c r="D33" s="13" t="s">
        <v>220</v>
      </c>
      <c r="E33" s="9">
        <v>97000</v>
      </c>
      <c r="F33" s="9">
        <v>84000</v>
      </c>
      <c r="G33" s="13" t="s">
        <v>220</v>
      </c>
      <c r="H33" s="34">
        <v>80000</v>
      </c>
      <c r="I33" s="9">
        <v>66000</v>
      </c>
      <c r="J33" s="9">
        <v>84000</v>
      </c>
      <c r="K33" s="9">
        <v>60000</v>
      </c>
      <c r="L33" s="9">
        <v>81000</v>
      </c>
      <c r="M33" s="13" t="s">
        <v>191</v>
      </c>
    </row>
    <row r="34" spans="1:13" ht="12.45" customHeight="1">
      <c r="A34" s="12" t="s">
        <v>326</v>
      </c>
      <c r="B34" s="9">
        <v>100000</v>
      </c>
      <c r="C34" s="66">
        <v>88000</v>
      </c>
      <c r="D34" s="13" t="s">
        <v>220</v>
      </c>
      <c r="E34" s="9">
        <v>108000</v>
      </c>
      <c r="F34" s="9">
        <v>86000</v>
      </c>
      <c r="G34" s="13" t="s">
        <v>220</v>
      </c>
      <c r="H34" s="67">
        <v>100000</v>
      </c>
      <c r="I34" s="9">
        <v>79000</v>
      </c>
      <c r="J34" s="9">
        <v>100000</v>
      </c>
      <c r="K34" s="9">
        <v>76000</v>
      </c>
      <c r="L34" s="9">
        <v>100000</v>
      </c>
      <c r="M34" s="9">
        <v>101000</v>
      </c>
    </row>
    <row r="35" spans="1:13" ht="12.45" customHeight="1">
      <c r="A35" s="10" t="s">
        <v>231</v>
      </c>
      <c r="B35" s="9">
        <v>101000</v>
      </c>
      <c r="C35" s="66">
        <v>89000</v>
      </c>
      <c r="D35" s="9">
        <v>80000</v>
      </c>
      <c r="E35" s="9">
        <v>106000</v>
      </c>
      <c r="F35" s="9">
        <v>95000</v>
      </c>
      <c r="G35" s="9">
        <v>90000</v>
      </c>
      <c r="H35" s="67">
        <v>103000</v>
      </c>
      <c r="I35" s="9">
        <v>102000</v>
      </c>
      <c r="J35" s="9">
        <v>102000</v>
      </c>
      <c r="K35" s="9">
        <v>97000</v>
      </c>
      <c r="L35" s="9">
        <v>102000</v>
      </c>
      <c r="M35" s="9">
        <v>100000</v>
      </c>
    </row>
    <row r="36" spans="1:13" ht="24.75" customHeight="1">
      <c r="A36" s="12" t="s">
        <v>323</v>
      </c>
      <c r="B36" s="11">
        <v>77000</v>
      </c>
      <c r="C36" s="69">
        <v>75000</v>
      </c>
      <c r="D36" s="16" t="s">
        <v>222</v>
      </c>
      <c r="E36" s="11">
        <v>80000</v>
      </c>
      <c r="F36" s="11">
        <v>74000</v>
      </c>
      <c r="G36" s="16" t="s">
        <v>220</v>
      </c>
      <c r="H36" s="37">
        <v>76000</v>
      </c>
      <c r="I36" s="11">
        <v>74000</v>
      </c>
      <c r="J36" s="11">
        <v>77000</v>
      </c>
      <c r="K36" s="11">
        <v>74000</v>
      </c>
      <c r="L36" s="11">
        <v>77000</v>
      </c>
      <c r="M36" s="11">
        <v>78000</v>
      </c>
    </row>
    <row r="37" spans="1:13" ht="12.45" customHeight="1">
      <c r="A37" s="12" t="s">
        <v>324</v>
      </c>
      <c r="B37" s="9">
        <v>100000</v>
      </c>
      <c r="C37" s="66">
        <v>90000</v>
      </c>
      <c r="D37" s="13" t="s">
        <v>191</v>
      </c>
      <c r="E37" s="9">
        <v>105000</v>
      </c>
      <c r="F37" s="9">
        <v>93000</v>
      </c>
      <c r="G37" s="9">
        <v>110000</v>
      </c>
      <c r="H37" s="67">
        <v>100000</v>
      </c>
      <c r="I37" s="9">
        <v>107000</v>
      </c>
      <c r="J37" s="9">
        <v>100000</v>
      </c>
      <c r="K37" s="9">
        <v>94000</v>
      </c>
      <c r="L37" s="9">
        <v>100000</v>
      </c>
      <c r="M37" s="9">
        <v>100000</v>
      </c>
    </row>
    <row r="38" spans="1:13" ht="12.45" customHeight="1">
      <c r="A38" s="12" t="s">
        <v>325</v>
      </c>
      <c r="B38" s="9">
        <v>120000</v>
      </c>
      <c r="C38" s="66">
        <v>119000</v>
      </c>
      <c r="D38" s="13" t="s">
        <v>220</v>
      </c>
      <c r="E38" s="9">
        <v>129000</v>
      </c>
      <c r="F38" s="9">
        <v>93000</v>
      </c>
      <c r="G38" s="13" t="s">
        <v>220</v>
      </c>
      <c r="H38" s="67">
        <v>117000</v>
      </c>
      <c r="I38" s="9">
        <v>130000</v>
      </c>
      <c r="J38" s="9">
        <v>120000</v>
      </c>
      <c r="K38" s="9">
        <v>109000</v>
      </c>
      <c r="L38" s="9">
        <v>120000</v>
      </c>
      <c r="M38" s="9">
        <v>124000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1" t="s">
        <v>433</v>
      </c>
      <c r="B1" s="321"/>
      <c r="C1" s="321"/>
      <c r="D1" s="321"/>
      <c r="E1" s="321"/>
      <c r="F1" s="321"/>
      <c r="G1" s="321"/>
      <c r="H1" s="321"/>
      <c r="I1" s="321"/>
      <c r="J1" s="321"/>
      <c r="K1" s="321"/>
      <c r="L1" s="321"/>
      <c r="M1" s="321"/>
      <c r="N1" s="321"/>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18" t="s">
        <v>326</v>
      </c>
      <c r="B5" s="7">
        <v>125000</v>
      </c>
      <c r="C5" s="7">
        <v>117000</v>
      </c>
      <c r="D5" s="19" t="s">
        <v>222</v>
      </c>
      <c r="E5" s="7">
        <v>128000</v>
      </c>
      <c r="F5" s="7">
        <v>110000</v>
      </c>
      <c r="G5" s="19" t="s">
        <v>222</v>
      </c>
      <c r="H5" s="71">
        <v>128000</v>
      </c>
      <c r="I5" s="7">
        <v>120000</v>
      </c>
      <c r="J5" s="7">
        <v>128000</v>
      </c>
      <c r="K5" s="7">
        <v>110000</v>
      </c>
      <c r="L5" s="7">
        <v>126000</v>
      </c>
      <c r="M5" s="7">
        <v>110000</v>
      </c>
    </row>
    <row r="6" spans="1:14" ht="24.75" customHeight="1">
      <c r="A6" s="8" t="s">
        <v>175</v>
      </c>
      <c r="B6" s="11">
        <v>83000</v>
      </c>
      <c r="C6" s="11">
        <v>81000</v>
      </c>
      <c r="D6" s="11">
        <v>79000</v>
      </c>
      <c r="E6" s="11">
        <v>100000</v>
      </c>
      <c r="F6" s="11">
        <v>72000</v>
      </c>
      <c r="G6" s="11">
        <v>82000</v>
      </c>
      <c r="H6" s="37">
        <v>82000</v>
      </c>
      <c r="I6" s="11">
        <v>82000</v>
      </c>
      <c r="J6" s="11">
        <v>85000</v>
      </c>
      <c r="K6" s="11">
        <v>75000</v>
      </c>
      <c r="L6" s="11">
        <v>83000</v>
      </c>
      <c r="M6" s="11">
        <v>81000</v>
      </c>
    </row>
    <row r="7" spans="1:14" ht="12.45" customHeight="1">
      <c r="A7" s="13" t="s">
        <v>323</v>
      </c>
      <c r="B7" s="9">
        <v>58000</v>
      </c>
      <c r="C7" s="9">
        <v>57000</v>
      </c>
      <c r="D7" s="13" t="s">
        <v>191</v>
      </c>
      <c r="E7" s="9">
        <v>63000</v>
      </c>
      <c r="F7" s="9">
        <v>50000</v>
      </c>
      <c r="G7" s="9">
        <v>44000</v>
      </c>
      <c r="H7" s="34">
        <v>59000</v>
      </c>
      <c r="I7" s="9">
        <v>53000</v>
      </c>
      <c r="J7" s="9">
        <v>58000</v>
      </c>
      <c r="K7" s="9">
        <v>59000</v>
      </c>
      <c r="L7" s="9">
        <v>58000</v>
      </c>
      <c r="M7" s="9">
        <v>55000</v>
      </c>
    </row>
    <row r="8" spans="1:14" ht="12.45" customHeight="1">
      <c r="A8" s="10" t="s">
        <v>324</v>
      </c>
      <c r="B8" s="9">
        <v>79000</v>
      </c>
      <c r="C8" s="9">
        <v>70000</v>
      </c>
      <c r="D8" s="9">
        <v>76000</v>
      </c>
      <c r="E8" s="9">
        <v>100000</v>
      </c>
      <c r="F8" s="9">
        <v>60000</v>
      </c>
      <c r="G8" s="9">
        <v>85000</v>
      </c>
      <c r="H8" s="34">
        <v>76000</v>
      </c>
      <c r="I8" s="9">
        <v>98000</v>
      </c>
      <c r="J8" s="9">
        <v>80000</v>
      </c>
      <c r="K8" s="9">
        <v>69000</v>
      </c>
      <c r="L8" s="9">
        <v>78000</v>
      </c>
      <c r="M8" s="9">
        <v>79000</v>
      </c>
    </row>
    <row r="9" spans="1:14" ht="12.45" customHeight="1">
      <c r="A9" s="10" t="s">
        <v>325</v>
      </c>
      <c r="B9" s="9">
        <v>92000</v>
      </c>
      <c r="C9" s="9">
        <v>94000</v>
      </c>
      <c r="D9" s="13" t="s">
        <v>191</v>
      </c>
      <c r="E9" s="9">
        <v>119000</v>
      </c>
      <c r="F9" s="9">
        <v>75000</v>
      </c>
      <c r="G9" s="9">
        <v>83000</v>
      </c>
      <c r="H9" s="34">
        <v>92000</v>
      </c>
      <c r="I9" s="9">
        <v>115000</v>
      </c>
      <c r="J9" s="9">
        <v>95000</v>
      </c>
      <c r="K9" s="9">
        <v>80000</v>
      </c>
      <c r="L9" s="9">
        <v>92000</v>
      </c>
      <c r="M9" s="9">
        <v>100000</v>
      </c>
    </row>
    <row r="10" spans="1:14" ht="12.45" customHeight="1">
      <c r="A10" s="10" t="s">
        <v>326</v>
      </c>
      <c r="B10" s="9">
        <v>99000</v>
      </c>
      <c r="C10" s="9">
        <v>99000</v>
      </c>
      <c r="D10" s="9">
        <v>83000</v>
      </c>
      <c r="E10" s="9">
        <v>111000</v>
      </c>
      <c r="F10" s="9">
        <v>80000</v>
      </c>
      <c r="G10" s="9">
        <v>136000</v>
      </c>
      <c r="H10" s="67">
        <v>100000</v>
      </c>
      <c r="I10" s="9">
        <v>77000</v>
      </c>
      <c r="J10" s="9">
        <v>100000</v>
      </c>
      <c r="K10" s="9">
        <v>85000</v>
      </c>
      <c r="L10" s="9">
        <v>99000</v>
      </c>
      <c r="M10" s="9">
        <v>90000</v>
      </c>
    </row>
    <row r="11" spans="1:14" ht="24.75" customHeight="1">
      <c r="A11" s="8" t="s">
        <v>176</v>
      </c>
      <c r="B11" s="11">
        <v>70000</v>
      </c>
      <c r="C11" s="11">
        <v>61000</v>
      </c>
      <c r="D11" s="11">
        <v>58000</v>
      </c>
      <c r="E11" s="11">
        <v>75000</v>
      </c>
      <c r="F11" s="11">
        <v>60000</v>
      </c>
      <c r="G11" s="11">
        <v>65000</v>
      </c>
      <c r="H11" s="37">
        <v>72000</v>
      </c>
      <c r="I11" s="11">
        <v>69000</v>
      </c>
      <c r="J11" s="11">
        <v>70000</v>
      </c>
      <c r="K11" s="11">
        <v>65000</v>
      </c>
      <c r="L11" s="11">
        <v>70000</v>
      </c>
      <c r="M11" s="11">
        <v>65000</v>
      </c>
    </row>
    <row r="12" spans="1:14" ht="12.45" customHeight="1">
      <c r="A12" s="13" t="s">
        <v>323</v>
      </c>
      <c r="B12" s="9">
        <v>50000</v>
      </c>
      <c r="C12" s="9">
        <v>48000</v>
      </c>
      <c r="D12" s="13" t="s">
        <v>191</v>
      </c>
      <c r="E12" s="9">
        <v>59000</v>
      </c>
      <c r="F12" s="9">
        <v>44000</v>
      </c>
      <c r="G12" s="13" t="s">
        <v>191</v>
      </c>
      <c r="H12" s="34">
        <v>50000</v>
      </c>
      <c r="I12" s="9">
        <v>57000</v>
      </c>
      <c r="J12" s="9">
        <v>50000</v>
      </c>
      <c r="K12" s="9">
        <v>40000</v>
      </c>
      <c r="L12" s="9">
        <v>50000</v>
      </c>
      <c r="M12" s="9">
        <v>48000</v>
      </c>
    </row>
    <row r="13" spans="1:14" ht="12.45" customHeight="1">
      <c r="A13" s="10" t="s">
        <v>324</v>
      </c>
      <c r="B13" s="9">
        <v>67000</v>
      </c>
      <c r="C13" s="9">
        <v>60000</v>
      </c>
      <c r="D13" s="9">
        <v>48000</v>
      </c>
      <c r="E13" s="9">
        <v>77000</v>
      </c>
      <c r="F13" s="9">
        <v>56000</v>
      </c>
      <c r="G13" s="9">
        <v>40000</v>
      </c>
      <c r="H13" s="34">
        <v>68000</v>
      </c>
      <c r="I13" s="9">
        <v>80000</v>
      </c>
      <c r="J13" s="9">
        <v>68000</v>
      </c>
      <c r="K13" s="9">
        <v>59000</v>
      </c>
      <c r="L13" s="9">
        <v>67000</v>
      </c>
      <c r="M13" s="9">
        <v>70000</v>
      </c>
    </row>
    <row r="14" spans="1:14" ht="12.45" customHeight="1">
      <c r="A14" s="10" t="s">
        <v>325</v>
      </c>
      <c r="B14" s="9">
        <v>79000</v>
      </c>
      <c r="C14" s="9">
        <v>73000</v>
      </c>
      <c r="D14" s="9">
        <v>61000</v>
      </c>
      <c r="E14" s="9">
        <v>96000</v>
      </c>
      <c r="F14" s="9">
        <v>64000</v>
      </c>
      <c r="G14" s="9">
        <v>79000</v>
      </c>
      <c r="H14" s="34">
        <v>80000</v>
      </c>
      <c r="I14" s="9">
        <v>69000</v>
      </c>
      <c r="J14" s="9">
        <v>80000</v>
      </c>
      <c r="K14" s="9">
        <v>70000</v>
      </c>
      <c r="L14" s="9">
        <v>80000</v>
      </c>
      <c r="M14" s="9">
        <v>66000</v>
      </c>
    </row>
    <row r="15" spans="1:14" ht="12.45" customHeight="1">
      <c r="A15" s="10" t="s">
        <v>326</v>
      </c>
      <c r="B15" s="9">
        <v>80000</v>
      </c>
      <c r="C15" s="9">
        <v>67000</v>
      </c>
      <c r="D15" s="9">
        <v>61000</v>
      </c>
      <c r="E15" s="9">
        <v>70000</v>
      </c>
      <c r="F15" s="9">
        <v>65000</v>
      </c>
      <c r="G15" s="9">
        <v>110000</v>
      </c>
      <c r="H15" s="34">
        <v>83000</v>
      </c>
      <c r="I15" s="9">
        <v>87000</v>
      </c>
      <c r="J15" s="9">
        <v>80000</v>
      </c>
      <c r="K15" s="9">
        <v>75000</v>
      </c>
      <c r="L15" s="9">
        <v>80000</v>
      </c>
      <c r="M15" s="9">
        <v>47000</v>
      </c>
    </row>
    <row r="16" spans="1:14" ht="12.45" customHeight="1">
      <c r="A16" s="8" t="s">
        <v>282</v>
      </c>
      <c r="B16" s="9">
        <v>66000</v>
      </c>
      <c r="C16" s="9">
        <v>60000</v>
      </c>
      <c r="D16" s="9">
        <v>59000</v>
      </c>
      <c r="E16" s="9">
        <v>81000</v>
      </c>
      <c r="F16" s="9">
        <v>62000</v>
      </c>
      <c r="G16" s="9">
        <v>84000</v>
      </c>
      <c r="H16" s="34">
        <v>67000</v>
      </c>
      <c r="I16" s="9">
        <v>65000</v>
      </c>
      <c r="J16" s="9">
        <v>68000</v>
      </c>
      <c r="K16" s="9">
        <v>60000</v>
      </c>
      <c r="L16" s="9">
        <v>67000</v>
      </c>
      <c r="M16" s="9">
        <v>65000</v>
      </c>
    </row>
    <row r="17" spans="1:13" ht="12.45" customHeight="1">
      <c r="A17" s="13" t="s">
        <v>323</v>
      </c>
      <c r="B17" s="9">
        <v>51000</v>
      </c>
      <c r="C17" s="9">
        <v>49000</v>
      </c>
      <c r="D17" s="13" t="s">
        <v>191</v>
      </c>
      <c r="E17" s="9">
        <v>59000</v>
      </c>
      <c r="F17" s="9">
        <v>45000</v>
      </c>
      <c r="G17" s="13" t="s">
        <v>191</v>
      </c>
      <c r="H17" s="34">
        <v>50000</v>
      </c>
      <c r="I17" s="9">
        <v>50000</v>
      </c>
      <c r="J17" s="9">
        <v>52000</v>
      </c>
      <c r="K17" s="9">
        <v>43000</v>
      </c>
      <c r="L17" s="9">
        <v>50000</v>
      </c>
      <c r="M17" s="9">
        <v>60000</v>
      </c>
    </row>
    <row r="18" spans="1:13" ht="12.45" customHeight="1">
      <c r="A18" s="10" t="s">
        <v>324</v>
      </c>
      <c r="B18" s="9">
        <v>66000</v>
      </c>
      <c r="C18" s="9">
        <v>60000</v>
      </c>
      <c r="D18" s="9">
        <v>56000</v>
      </c>
      <c r="E18" s="9">
        <v>85000</v>
      </c>
      <c r="F18" s="9">
        <v>59000</v>
      </c>
      <c r="G18" s="13" t="s">
        <v>191</v>
      </c>
      <c r="H18" s="34">
        <v>65000</v>
      </c>
      <c r="I18" s="9">
        <v>75000</v>
      </c>
      <c r="J18" s="9">
        <v>67000</v>
      </c>
      <c r="K18" s="9">
        <v>55000</v>
      </c>
      <c r="L18" s="9">
        <v>66000</v>
      </c>
      <c r="M18" s="9">
        <v>73000</v>
      </c>
    </row>
    <row r="19" spans="1:13" ht="12.45" customHeight="1">
      <c r="A19" s="10" t="s">
        <v>325</v>
      </c>
      <c r="B19" s="9">
        <v>75000</v>
      </c>
      <c r="C19" s="9">
        <v>74000</v>
      </c>
      <c r="D19" s="13" t="s">
        <v>191</v>
      </c>
      <c r="E19" s="9">
        <v>95000</v>
      </c>
      <c r="F19" s="9">
        <v>65000</v>
      </c>
      <c r="G19" s="13" t="s">
        <v>191</v>
      </c>
      <c r="H19" s="34">
        <v>74000</v>
      </c>
      <c r="I19" s="9">
        <v>66000</v>
      </c>
      <c r="J19" s="9">
        <v>75000</v>
      </c>
      <c r="K19" s="9">
        <v>65000</v>
      </c>
      <c r="L19" s="9">
        <v>75000</v>
      </c>
      <c r="M19" s="9">
        <v>61000</v>
      </c>
    </row>
    <row r="20" spans="1:13" ht="12.45" customHeight="1">
      <c r="A20" s="10" t="s">
        <v>326</v>
      </c>
      <c r="B20" s="9">
        <v>75000</v>
      </c>
      <c r="C20" s="9">
        <v>60000</v>
      </c>
      <c r="D20" s="9">
        <v>43000</v>
      </c>
      <c r="E20" s="9">
        <v>83000</v>
      </c>
      <c r="F20" s="9">
        <v>68000</v>
      </c>
      <c r="G20" s="13" t="s">
        <v>191</v>
      </c>
      <c r="H20" s="34">
        <v>76000</v>
      </c>
      <c r="I20" s="9">
        <v>55000</v>
      </c>
      <c r="J20" s="9">
        <v>75000</v>
      </c>
      <c r="K20" s="9">
        <v>65000</v>
      </c>
      <c r="L20" s="9">
        <v>75000</v>
      </c>
      <c r="M20" s="9">
        <v>49000</v>
      </c>
    </row>
    <row r="21" spans="1:13" ht="24.75" customHeight="1">
      <c r="A21" s="10" t="s">
        <v>174</v>
      </c>
      <c r="B21" s="11">
        <v>86000</v>
      </c>
      <c r="C21" s="11">
        <v>74000</v>
      </c>
      <c r="D21" s="11">
        <v>81000</v>
      </c>
      <c r="E21" s="11">
        <v>100000</v>
      </c>
      <c r="F21" s="11">
        <v>84000</v>
      </c>
      <c r="G21" s="11">
        <v>85000</v>
      </c>
      <c r="H21" s="37">
        <v>84000</v>
      </c>
      <c r="I21" s="11">
        <v>70000</v>
      </c>
      <c r="J21" s="11">
        <v>87000</v>
      </c>
      <c r="K21" s="11">
        <v>78000</v>
      </c>
      <c r="L21" s="11">
        <v>85000</v>
      </c>
      <c r="M21" s="11">
        <v>93000</v>
      </c>
    </row>
    <row r="22" spans="1:13" ht="24.75" customHeight="1">
      <c r="A22" s="12" t="s">
        <v>323</v>
      </c>
      <c r="B22" s="11">
        <v>68000</v>
      </c>
      <c r="C22" s="11">
        <v>61000</v>
      </c>
      <c r="D22" s="16" t="s">
        <v>191</v>
      </c>
      <c r="E22" s="11">
        <v>80000</v>
      </c>
      <c r="F22" s="11">
        <v>63000</v>
      </c>
      <c r="G22" s="16" t="s">
        <v>220</v>
      </c>
      <c r="H22" s="37">
        <v>62000</v>
      </c>
      <c r="I22" s="11">
        <v>64000</v>
      </c>
      <c r="J22" s="11">
        <v>69000</v>
      </c>
      <c r="K22" s="11">
        <v>56000</v>
      </c>
      <c r="L22" s="11">
        <v>65000</v>
      </c>
      <c r="M22" s="11">
        <v>81000</v>
      </c>
    </row>
    <row r="23" spans="1:13" ht="12.45" customHeight="1">
      <c r="A23" s="12" t="s">
        <v>324</v>
      </c>
      <c r="B23" s="9">
        <v>86000</v>
      </c>
      <c r="C23" s="9">
        <v>77000</v>
      </c>
      <c r="D23" s="13" t="s">
        <v>222</v>
      </c>
      <c r="E23" s="9">
        <v>100000</v>
      </c>
      <c r="F23" s="9">
        <v>84000</v>
      </c>
      <c r="G23" s="13" t="s">
        <v>220</v>
      </c>
      <c r="H23" s="34">
        <v>84000</v>
      </c>
      <c r="I23" s="9">
        <v>70000</v>
      </c>
      <c r="J23" s="9">
        <v>88000</v>
      </c>
      <c r="K23" s="9">
        <v>77000</v>
      </c>
      <c r="L23" s="9">
        <v>85000</v>
      </c>
      <c r="M23" s="9">
        <v>98000</v>
      </c>
    </row>
    <row r="24" spans="1:13" ht="12.45" customHeight="1">
      <c r="A24" s="12" t="s">
        <v>325</v>
      </c>
      <c r="B24" s="9">
        <v>95000</v>
      </c>
      <c r="C24" s="9">
        <v>95000</v>
      </c>
      <c r="D24" s="13" t="s">
        <v>191</v>
      </c>
      <c r="E24" s="9">
        <v>114000</v>
      </c>
      <c r="F24" s="9">
        <v>89000</v>
      </c>
      <c r="G24" s="13" t="s">
        <v>220</v>
      </c>
      <c r="H24" s="34">
        <v>85000</v>
      </c>
      <c r="I24" s="9">
        <v>113000</v>
      </c>
      <c r="J24" s="9">
        <v>95000</v>
      </c>
      <c r="K24" s="9">
        <v>84000</v>
      </c>
      <c r="L24" s="9">
        <v>92000</v>
      </c>
      <c r="M24" s="9">
        <v>102000</v>
      </c>
    </row>
    <row r="25" spans="1:13" ht="12.45" customHeight="1">
      <c r="A25" s="12" t="s">
        <v>326</v>
      </c>
      <c r="B25" s="9">
        <v>100000</v>
      </c>
      <c r="C25" s="9">
        <v>73000</v>
      </c>
      <c r="D25" s="13" t="s">
        <v>222</v>
      </c>
      <c r="E25" s="9">
        <v>118000</v>
      </c>
      <c r="F25" s="9">
        <v>78000</v>
      </c>
      <c r="G25" s="13" t="s">
        <v>191</v>
      </c>
      <c r="H25" s="34">
        <v>99000</v>
      </c>
      <c r="I25" s="9">
        <v>91000</v>
      </c>
      <c r="J25" s="9">
        <v>100000</v>
      </c>
      <c r="K25" s="9">
        <v>87000</v>
      </c>
      <c r="L25" s="9">
        <v>100000</v>
      </c>
      <c r="M25" s="9">
        <v>76000</v>
      </c>
    </row>
    <row r="26" spans="1:13" ht="49.5" customHeight="1">
      <c r="A26" s="12" t="s">
        <v>227</v>
      </c>
      <c r="B26" s="25">
        <v>72000</v>
      </c>
      <c r="C26" s="25">
        <v>58000</v>
      </c>
      <c r="D26" s="26" t="s">
        <v>222</v>
      </c>
      <c r="E26" s="25">
        <v>80000</v>
      </c>
      <c r="F26" s="25">
        <v>65000</v>
      </c>
      <c r="G26" s="26" t="s">
        <v>220</v>
      </c>
      <c r="H26" s="36">
        <v>75000</v>
      </c>
      <c r="I26" s="25">
        <v>48000</v>
      </c>
      <c r="J26" s="25">
        <v>74000</v>
      </c>
      <c r="K26" s="25">
        <v>53000</v>
      </c>
      <c r="L26" s="25">
        <v>75000</v>
      </c>
      <c r="M26" s="25">
        <v>60000</v>
      </c>
    </row>
    <row r="27" spans="1:13" ht="24.75" customHeight="1">
      <c r="A27" s="15" t="s">
        <v>323</v>
      </c>
      <c r="B27" s="11">
        <v>42000</v>
      </c>
      <c r="C27" s="11">
        <v>34000</v>
      </c>
      <c r="D27" s="16" t="s">
        <v>220</v>
      </c>
      <c r="E27" s="11">
        <v>42000</v>
      </c>
      <c r="F27" s="16" t="s">
        <v>191</v>
      </c>
      <c r="G27" s="16" t="s">
        <v>220</v>
      </c>
      <c r="H27" s="37">
        <v>43000</v>
      </c>
      <c r="I27" s="16" t="s">
        <v>191</v>
      </c>
      <c r="J27" s="11">
        <v>44000</v>
      </c>
      <c r="K27" s="11">
        <v>32000</v>
      </c>
      <c r="L27" s="11">
        <v>42000</v>
      </c>
      <c r="M27" s="11">
        <v>39000</v>
      </c>
    </row>
    <row r="28" spans="1:13" ht="12.45" customHeight="1">
      <c r="A28" s="15" t="s">
        <v>324</v>
      </c>
      <c r="B28" s="9">
        <v>67000</v>
      </c>
      <c r="C28" s="9">
        <v>60000</v>
      </c>
      <c r="D28" s="13" t="s">
        <v>220</v>
      </c>
      <c r="E28" s="9">
        <v>74000</v>
      </c>
      <c r="F28" s="9">
        <v>59000</v>
      </c>
      <c r="G28" s="13" t="s">
        <v>220</v>
      </c>
      <c r="H28" s="34">
        <v>69000</v>
      </c>
      <c r="I28" s="9">
        <v>61000</v>
      </c>
      <c r="J28" s="9">
        <v>69000</v>
      </c>
      <c r="K28" s="9">
        <v>50000</v>
      </c>
      <c r="L28" s="9">
        <v>70000</v>
      </c>
      <c r="M28" s="9">
        <v>60000</v>
      </c>
    </row>
    <row r="29" spans="1:13" ht="12.45" customHeight="1">
      <c r="A29" s="15" t="s">
        <v>325</v>
      </c>
      <c r="B29" s="9">
        <v>92000</v>
      </c>
      <c r="C29" s="9">
        <v>79000</v>
      </c>
      <c r="D29" s="13" t="s">
        <v>220</v>
      </c>
      <c r="E29" s="9">
        <v>94000</v>
      </c>
      <c r="F29" s="13" t="s">
        <v>191</v>
      </c>
      <c r="G29" s="13" t="s">
        <v>220</v>
      </c>
      <c r="H29" s="34">
        <v>90000</v>
      </c>
      <c r="I29" s="13" t="s">
        <v>222</v>
      </c>
      <c r="J29" s="9">
        <v>91000</v>
      </c>
      <c r="K29" s="9">
        <v>114000</v>
      </c>
      <c r="L29" s="9">
        <v>94000</v>
      </c>
      <c r="M29" s="9">
        <v>70000</v>
      </c>
    </row>
    <row r="30" spans="1:13" ht="12.45" customHeight="1">
      <c r="A30" s="15" t="s">
        <v>326</v>
      </c>
      <c r="B30" s="9">
        <v>102000</v>
      </c>
      <c r="C30" s="9">
        <v>84000</v>
      </c>
      <c r="D30" s="13" t="s">
        <v>220</v>
      </c>
      <c r="E30" s="9">
        <v>114000</v>
      </c>
      <c r="F30" s="13" t="s">
        <v>191</v>
      </c>
      <c r="G30" s="13" t="s">
        <v>220</v>
      </c>
      <c r="H30" s="34">
        <v>96000</v>
      </c>
      <c r="I30" s="13" t="s">
        <v>220</v>
      </c>
      <c r="J30" s="9">
        <v>102000</v>
      </c>
      <c r="K30" s="9">
        <v>104000</v>
      </c>
      <c r="L30" s="9">
        <v>105000</v>
      </c>
      <c r="M30" s="9">
        <v>84000</v>
      </c>
    </row>
    <row r="31" spans="1:13" ht="49.5" customHeight="1">
      <c r="A31" s="12" t="s">
        <v>228</v>
      </c>
      <c r="B31" s="25">
        <v>92000</v>
      </c>
      <c r="C31" s="25">
        <v>80000</v>
      </c>
      <c r="D31" s="26" t="s">
        <v>220</v>
      </c>
      <c r="E31" s="25">
        <v>107000</v>
      </c>
      <c r="F31" s="25">
        <v>86000</v>
      </c>
      <c r="G31" s="26" t="s">
        <v>191</v>
      </c>
      <c r="H31" s="36">
        <v>90000</v>
      </c>
      <c r="I31" s="25">
        <v>91000</v>
      </c>
      <c r="J31" s="25">
        <v>92000</v>
      </c>
      <c r="K31" s="25">
        <v>97000</v>
      </c>
      <c r="L31" s="25">
        <v>90000</v>
      </c>
      <c r="M31" s="25">
        <v>106000</v>
      </c>
    </row>
    <row r="32" spans="1:13" ht="24.75" customHeight="1">
      <c r="A32" s="15" t="s">
        <v>323</v>
      </c>
      <c r="B32" s="11">
        <v>80000</v>
      </c>
      <c r="C32" s="11">
        <v>69000</v>
      </c>
      <c r="D32" s="16" t="s">
        <v>220</v>
      </c>
      <c r="E32" s="11">
        <v>89000</v>
      </c>
      <c r="F32" s="11">
        <v>77000</v>
      </c>
      <c r="G32" s="16" t="s">
        <v>220</v>
      </c>
      <c r="H32" s="37">
        <v>75000</v>
      </c>
      <c r="I32" s="11">
        <v>79000</v>
      </c>
      <c r="J32" s="11">
        <v>80000</v>
      </c>
      <c r="K32" s="11">
        <v>70000</v>
      </c>
      <c r="L32" s="11">
        <v>75000</v>
      </c>
      <c r="M32" s="11">
        <v>99000</v>
      </c>
    </row>
    <row r="33" spans="1:13" ht="12.45" customHeight="1">
      <c r="A33" s="15" t="s">
        <v>324</v>
      </c>
      <c r="B33" s="9">
        <v>95000</v>
      </c>
      <c r="C33" s="9">
        <v>97000</v>
      </c>
      <c r="D33" s="13" t="s">
        <v>220</v>
      </c>
      <c r="E33" s="9">
        <v>107000</v>
      </c>
      <c r="F33" s="9">
        <v>92000</v>
      </c>
      <c r="G33" s="13" t="s">
        <v>220</v>
      </c>
      <c r="H33" s="34">
        <v>86000</v>
      </c>
      <c r="I33" s="9">
        <v>99000</v>
      </c>
      <c r="J33" s="9">
        <v>96000</v>
      </c>
      <c r="K33" s="9">
        <v>88000</v>
      </c>
      <c r="L33" s="9">
        <v>89000</v>
      </c>
      <c r="M33" s="9">
        <v>110000</v>
      </c>
    </row>
    <row r="34" spans="1:13" ht="12.45" customHeight="1">
      <c r="A34" s="15" t="s">
        <v>325</v>
      </c>
      <c r="B34" s="9">
        <v>98000</v>
      </c>
      <c r="C34" s="9">
        <v>100000</v>
      </c>
      <c r="D34" s="13" t="s">
        <v>220</v>
      </c>
      <c r="E34" s="9">
        <v>114000</v>
      </c>
      <c r="F34" s="9">
        <v>88000</v>
      </c>
      <c r="G34" s="13" t="s">
        <v>220</v>
      </c>
      <c r="H34" s="34">
        <v>84000</v>
      </c>
      <c r="I34" s="9">
        <v>115000</v>
      </c>
      <c r="J34" s="9">
        <v>96000</v>
      </c>
      <c r="K34" s="9">
        <v>104000</v>
      </c>
      <c r="L34" s="9">
        <v>95000</v>
      </c>
      <c r="M34" s="9">
        <v>113000</v>
      </c>
    </row>
    <row r="35" spans="1:13" ht="12.45" customHeight="1">
      <c r="A35" s="15" t="s">
        <v>326</v>
      </c>
      <c r="B35" s="9">
        <v>97000</v>
      </c>
      <c r="C35" s="13" t="s">
        <v>191</v>
      </c>
      <c r="D35" s="13" t="s">
        <v>220</v>
      </c>
      <c r="E35" s="9">
        <v>120000</v>
      </c>
      <c r="F35" s="9">
        <v>69000</v>
      </c>
      <c r="G35" s="13" t="s">
        <v>220</v>
      </c>
      <c r="H35" s="34">
        <v>95000</v>
      </c>
      <c r="I35" s="13" t="s">
        <v>191</v>
      </c>
      <c r="J35" s="9">
        <v>95000</v>
      </c>
      <c r="K35" s="9">
        <v>108000</v>
      </c>
      <c r="L35" s="9">
        <v>98000</v>
      </c>
      <c r="M35" s="13" t="s">
        <v>191</v>
      </c>
    </row>
    <row r="36" spans="1:13" ht="36.75" customHeight="1">
      <c r="A36" s="12" t="s">
        <v>229</v>
      </c>
      <c r="B36" s="25">
        <v>72000</v>
      </c>
      <c r="C36" s="25">
        <v>50000</v>
      </c>
      <c r="D36" s="26" t="s">
        <v>220</v>
      </c>
      <c r="E36" s="25">
        <v>69000</v>
      </c>
      <c r="F36" s="25">
        <v>100000</v>
      </c>
      <c r="G36" s="26" t="s">
        <v>220</v>
      </c>
      <c r="H36" s="36">
        <v>74000</v>
      </c>
      <c r="I36" s="25">
        <v>71000</v>
      </c>
      <c r="J36" s="25">
        <v>74000</v>
      </c>
      <c r="K36" s="25">
        <v>55000</v>
      </c>
      <c r="L36" s="25">
        <v>73000</v>
      </c>
      <c r="M36" s="25">
        <v>66000</v>
      </c>
    </row>
    <row r="37" spans="1:13" ht="24.75" customHeight="1">
      <c r="A37" s="15" t="s">
        <v>323</v>
      </c>
      <c r="B37" s="11">
        <v>44000</v>
      </c>
      <c r="C37" s="11">
        <v>31000</v>
      </c>
      <c r="D37" s="16" t="s">
        <v>220</v>
      </c>
      <c r="E37" s="11">
        <v>43000</v>
      </c>
      <c r="F37" s="16" t="s">
        <v>222</v>
      </c>
      <c r="G37" s="16" t="s">
        <v>220</v>
      </c>
      <c r="H37" s="37">
        <v>46000</v>
      </c>
      <c r="I37" s="16" t="s">
        <v>220</v>
      </c>
      <c r="J37" s="11">
        <v>45000</v>
      </c>
      <c r="K37" s="11">
        <v>41000</v>
      </c>
      <c r="L37" s="11">
        <v>45000</v>
      </c>
      <c r="M37" s="16" t="s">
        <v>191</v>
      </c>
    </row>
    <row r="38" spans="1:13" ht="12.45" customHeight="1">
      <c r="A38" s="15" t="s">
        <v>324</v>
      </c>
      <c r="B38" s="9">
        <v>71000</v>
      </c>
      <c r="C38" s="13" t="s">
        <v>191</v>
      </c>
      <c r="D38" s="13" t="s">
        <v>220</v>
      </c>
      <c r="E38" s="9">
        <v>75000</v>
      </c>
      <c r="F38" s="13" t="s">
        <v>191</v>
      </c>
      <c r="G38" s="13" t="s">
        <v>220</v>
      </c>
      <c r="H38" s="34">
        <v>70000</v>
      </c>
      <c r="I38" s="9">
        <v>96000</v>
      </c>
      <c r="J38" s="9">
        <v>72000</v>
      </c>
      <c r="K38" s="9">
        <v>54000</v>
      </c>
      <c r="L38" s="9">
        <v>71000</v>
      </c>
      <c r="M38" s="9">
        <v>69000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C7EF-0817-4E34-875C-DD465504962D}">
  <dimension ref="A1:N57"/>
  <sheetViews>
    <sheetView workbookViewId="0">
      <selection activeCell="E29" sqref="E29"/>
    </sheetView>
  </sheetViews>
  <sheetFormatPr defaultRowHeight="12.75" customHeight="1"/>
  <cols>
    <col min="1" max="1" width="79.109375" bestFit="1" customWidth="1"/>
    <col min="2" max="2" width="14.77734375" bestFit="1" customWidth="1"/>
    <col min="3" max="3" width="83.77734375" bestFit="1" customWidth="1"/>
    <col min="4" max="5" width="12.6640625" bestFit="1" customWidth="1"/>
    <col min="6" max="6" width="74.33203125" bestFit="1" customWidth="1"/>
    <col min="7" max="7" width="40" bestFit="1" customWidth="1"/>
    <col min="8" max="8" width="84.6640625" bestFit="1" customWidth="1"/>
    <col min="9" max="9" width="35.33203125" customWidth="1"/>
    <col min="10" max="10" width="12.6640625" bestFit="1" customWidth="1"/>
    <col min="11" max="11" width="33.77734375" bestFit="1" customWidth="1"/>
    <col min="12" max="12" width="13.44140625" bestFit="1" customWidth="1"/>
    <col min="13" max="13" width="12.109375" bestFit="1" customWidth="1"/>
    <col min="14" max="14" width="10.109375" customWidth="1"/>
  </cols>
  <sheetData>
    <row r="1" spans="7:14" ht="13.2">
      <c r="G1" s="322" t="s">
        <v>61</v>
      </c>
      <c r="H1" s="322"/>
      <c r="I1" s="322"/>
      <c r="J1" s="322"/>
      <c r="K1" s="322"/>
      <c r="L1" s="322"/>
      <c r="M1" s="322"/>
    </row>
    <row r="2" spans="7:14" ht="13.2" customHeight="1">
      <c r="G2" s="320" t="s">
        <v>109</v>
      </c>
      <c r="H2" s="320"/>
      <c r="I2" s="320"/>
      <c r="J2" s="320"/>
      <c r="K2" s="320"/>
      <c r="L2" s="320"/>
      <c r="M2" s="320"/>
    </row>
    <row r="3" spans="7:14" ht="13.2">
      <c r="G3" s="290" t="s">
        <v>62</v>
      </c>
      <c r="H3" s="290" t="s">
        <v>63</v>
      </c>
      <c r="I3" s="290"/>
      <c r="K3" s="290" t="s">
        <v>110</v>
      </c>
      <c r="L3" s="306" t="s">
        <v>111</v>
      </c>
      <c r="M3" s="306" t="s">
        <v>112</v>
      </c>
    </row>
    <row r="4" spans="7:14" ht="13.2">
      <c r="G4" t="s">
        <v>68</v>
      </c>
      <c r="H4" s="299">
        <v>77000</v>
      </c>
      <c r="I4" s="299"/>
      <c r="K4" t="s">
        <v>113</v>
      </c>
      <c r="L4" s="299">
        <f>H4*1.1</f>
        <v>84700</v>
      </c>
      <c r="M4" s="299">
        <f>H4*0.9</f>
        <v>69300</v>
      </c>
    </row>
    <row r="5" spans="7:14" ht="13.2">
      <c r="G5" t="s">
        <v>53</v>
      </c>
      <c r="H5" s="299">
        <v>31747.41</v>
      </c>
      <c r="I5" s="299"/>
      <c r="K5" t="s">
        <v>114</v>
      </c>
      <c r="L5" s="299">
        <f t="shared" ref="L5:L10" si="0">H5*1.1</f>
        <v>34922.151000000005</v>
      </c>
      <c r="M5" s="299">
        <f t="shared" ref="M5:M10" si="1">H5*0.9</f>
        <v>28572.669000000002</v>
      </c>
      <c r="N5" s="290"/>
    </row>
    <row r="6" spans="7:14" ht="13.2">
      <c r="G6" t="s">
        <v>54</v>
      </c>
      <c r="H6">
        <v>1.3287</v>
      </c>
      <c r="K6" t="s">
        <v>115</v>
      </c>
      <c r="L6" s="300">
        <f t="shared" si="0"/>
        <v>1.46157</v>
      </c>
      <c r="M6" s="300">
        <f t="shared" si="1"/>
        <v>1.1958299999999999</v>
      </c>
      <c r="N6" s="290"/>
    </row>
    <row r="7" spans="7:14" ht="13.2">
      <c r="G7" t="s">
        <v>116</v>
      </c>
      <c r="H7" s="299">
        <v>109691.89</v>
      </c>
      <c r="I7" s="299"/>
      <c r="N7" s="290"/>
    </row>
    <row r="8" spans="7:14" ht="13.2">
      <c r="G8" t="s">
        <v>57</v>
      </c>
      <c r="H8" s="299">
        <v>82554.070000000007</v>
      </c>
      <c r="I8" s="299"/>
      <c r="N8" s="290"/>
    </row>
    <row r="9" spans="7:14" ht="13.2">
      <c r="G9" t="s">
        <v>117</v>
      </c>
      <c r="H9" s="299">
        <v>27137.82</v>
      </c>
      <c r="I9" s="299"/>
      <c r="K9" t="s">
        <v>118</v>
      </c>
      <c r="L9" s="299">
        <f t="shared" si="0"/>
        <v>29851.602000000003</v>
      </c>
      <c r="M9" s="299">
        <f t="shared" si="1"/>
        <v>24424.038</v>
      </c>
      <c r="N9" s="290"/>
    </row>
    <row r="10" spans="7:14" ht="13.2">
      <c r="G10" t="s">
        <v>119</v>
      </c>
      <c r="H10" s="302">
        <v>0.32869999999999999</v>
      </c>
      <c r="I10" s="302"/>
      <c r="K10" t="s">
        <v>120</v>
      </c>
      <c r="L10" s="301">
        <f t="shared" si="0"/>
        <v>0.36157</v>
      </c>
      <c r="M10" s="301">
        <f t="shared" si="1"/>
        <v>0.29582999999999998</v>
      </c>
      <c r="N10" s="290"/>
    </row>
    <row r="11" spans="7:14" ht="12.75" customHeight="1">
      <c r="G11" s="321" t="s">
        <v>121</v>
      </c>
      <c r="H11" s="321"/>
      <c r="I11" s="321"/>
      <c r="J11" s="321"/>
      <c r="K11" s="321"/>
      <c r="L11" s="321"/>
      <c r="M11" s="321"/>
    </row>
    <row r="12" spans="7:14" ht="13.2" customHeight="1">
      <c r="G12" s="321"/>
      <c r="H12" s="321"/>
      <c r="I12" s="321"/>
      <c r="J12" s="321"/>
      <c r="K12" s="321"/>
      <c r="L12" s="321"/>
      <c r="M12" s="321"/>
    </row>
    <row r="13" spans="7:14" ht="13.2" customHeight="1">
      <c r="G13" s="320" t="s">
        <v>122</v>
      </c>
      <c r="H13" s="320"/>
      <c r="I13" s="320"/>
      <c r="J13" s="320"/>
      <c r="K13" s="320"/>
      <c r="L13" s="320"/>
      <c r="M13" s="320"/>
    </row>
    <row r="14" spans="7:14" ht="13.2" customHeight="1">
      <c r="G14" s="290" t="s">
        <v>64</v>
      </c>
      <c r="H14" s="290" t="s">
        <v>65</v>
      </c>
      <c r="I14" s="290"/>
      <c r="L14" s="306" t="s">
        <v>111</v>
      </c>
      <c r="M14" s="306" t="s">
        <v>112</v>
      </c>
    </row>
    <row r="15" spans="7:14" ht="13.2" customHeight="1">
      <c r="G15" s="285" t="s">
        <v>69</v>
      </c>
      <c r="H15" s="296">
        <f>31212.5911070986</f>
        <v>31212.5911070986</v>
      </c>
      <c r="I15" s="296"/>
      <c r="L15" s="299">
        <f>H15*1.1</f>
        <v>34333.85021780846</v>
      </c>
      <c r="M15" s="299">
        <f>H15*0.9</f>
        <v>28091.331996388741</v>
      </c>
    </row>
    <row r="16" spans="7:14" ht="13.2" customHeight="1">
      <c r="G16" s="285" t="s">
        <v>72</v>
      </c>
      <c r="H16" s="296">
        <v>65364</v>
      </c>
      <c r="I16" s="296"/>
      <c r="L16" s="299">
        <f>H16*1.1</f>
        <v>71900.400000000009</v>
      </c>
      <c r="M16" s="299">
        <f t="shared" ref="M16:M17" si="2">H16*0.9</f>
        <v>58827.6</v>
      </c>
    </row>
    <row r="17" spans="1:13" ht="13.2" customHeight="1">
      <c r="G17" s="285" t="s">
        <v>75</v>
      </c>
      <c r="H17" s="296"/>
      <c r="I17" s="296"/>
      <c r="L17" s="299">
        <f>H17*1.1</f>
        <v>0</v>
      </c>
      <c r="M17" s="299">
        <f t="shared" si="2"/>
        <v>0</v>
      </c>
    </row>
    <row r="18" spans="1:13" ht="13.2" customHeight="1">
      <c r="A18" s="304" t="s">
        <v>123</v>
      </c>
      <c r="G18" s="290" t="s">
        <v>78</v>
      </c>
      <c r="H18" s="296">
        <f>SUM(H15:H17)</f>
        <v>96576.591107098604</v>
      </c>
      <c r="I18" s="296"/>
    </row>
    <row r="19" spans="1:13" ht="13.2">
      <c r="A19" s="323" t="s">
        <v>60</v>
      </c>
      <c r="B19" s="323"/>
      <c r="C19" s="323"/>
      <c r="D19" s="323"/>
      <c r="E19" s="323"/>
      <c r="F19" s="323"/>
      <c r="G19" s="323"/>
      <c r="H19" s="323"/>
      <c r="I19" s="323"/>
      <c r="J19" s="323"/>
    </row>
    <row r="20" spans="1:13" ht="13.2">
      <c r="A20" s="324" t="s">
        <v>124</v>
      </c>
      <c r="B20" s="324"/>
      <c r="C20" s="324"/>
      <c r="D20" s="324"/>
      <c r="E20" s="324"/>
      <c r="F20" s="324"/>
      <c r="G20" s="324"/>
      <c r="H20" s="324"/>
      <c r="I20" s="324"/>
      <c r="J20" s="324"/>
    </row>
    <row r="21" spans="1:13" ht="13.2">
      <c r="A21" s="290" t="s">
        <v>62</v>
      </c>
      <c r="B21" s="290" t="s">
        <v>63</v>
      </c>
      <c r="C21" s="290" t="s">
        <v>110</v>
      </c>
      <c r="D21" s="290" t="s">
        <v>111</v>
      </c>
      <c r="E21" s="290" t="s">
        <v>112</v>
      </c>
      <c r="F21" s="290" t="s">
        <v>64</v>
      </c>
      <c r="G21" s="290" t="s">
        <v>65</v>
      </c>
      <c r="H21" s="290" t="s">
        <v>110</v>
      </c>
      <c r="I21" s="290" t="s">
        <v>111</v>
      </c>
      <c r="J21" s="290" t="s">
        <v>112</v>
      </c>
    </row>
    <row r="22" spans="1:13" ht="13.2">
      <c r="A22" s="325" t="s">
        <v>125</v>
      </c>
      <c r="B22" s="325"/>
      <c r="C22" s="325"/>
      <c r="D22" s="325"/>
      <c r="E22" s="325"/>
      <c r="F22" s="325"/>
      <c r="G22" s="325"/>
      <c r="H22" s="325"/>
      <c r="I22" s="325"/>
      <c r="J22" s="325"/>
    </row>
    <row r="23" spans="1:13" ht="13.2">
      <c r="A23" s="285" t="s">
        <v>66</v>
      </c>
      <c r="B23">
        <v>0.7546542650124648</v>
      </c>
      <c r="C23" s="303" t="s">
        <v>126</v>
      </c>
      <c r="D23">
        <f>B23*(1+0.1)</f>
        <v>0.83011969151371134</v>
      </c>
      <c r="E23">
        <f>B23*(1-0.1)</f>
        <v>0.67918883851121836</v>
      </c>
      <c r="F23" s="285" t="s">
        <v>67</v>
      </c>
      <c r="G23">
        <v>4.6068840843817897E-2</v>
      </c>
      <c r="H23" s="303" t="s">
        <v>127</v>
      </c>
      <c r="I23">
        <f>G23*(1+0.1)</f>
        <v>5.0675724928199689E-2</v>
      </c>
      <c r="J23">
        <f>G23*(1-0.1)</f>
        <v>4.1461956759436105E-2</v>
      </c>
    </row>
    <row r="24" spans="1:13" ht="13.2">
      <c r="C24" s="303" t="s">
        <v>128</v>
      </c>
      <c r="D24">
        <f>B23*(1+0.2)</f>
        <v>0.90558511801495767</v>
      </c>
      <c r="E24">
        <f>B23*(1-0.2)</f>
        <v>0.60372341200997193</v>
      </c>
      <c r="F24" s="285" t="s">
        <v>70</v>
      </c>
      <c r="G24">
        <v>0.19927689414371699</v>
      </c>
      <c r="H24" s="303" t="s">
        <v>129</v>
      </c>
      <c r="I24">
        <f>G24*(1+0.2)</f>
        <v>0.23913227297246037</v>
      </c>
      <c r="J24">
        <f>G24*(1-0.2)</f>
        <v>0.15942151531497362</v>
      </c>
    </row>
    <row r="25" spans="1:13" ht="13.2">
      <c r="H25" s="303" t="s">
        <v>130</v>
      </c>
      <c r="I25">
        <f>G24*(1+0.1)</f>
        <v>0.21920458355808872</v>
      </c>
      <c r="J25">
        <f>G24*(1-0.1)</f>
        <v>0.17934920472934529</v>
      </c>
    </row>
    <row r="26" spans="1:13" ht="13.2">
      <c r="H26" s="303" t="s">
        <v>131</v>
      </c>
      <c r="I26">
        <f>G23*(1+0.2)</f>
        <v>5.5282609012581474E-2</v>
      </c>
      <c r="J26">
        <f>G23*(1-0.2)</f>
        <v>3.6855072675054321E-2</v>
      </c>
    </row>
    <row r="27" spans="1:13" ht="13.2" customHeight="1">
      <c r="A27" s="325" t="s">
        <v>132</v>
      </c>
      <c r="B27" s="325"/>
      <c r="C27" s="325"/>
      <c r="D27" s="325"/>
      <c r="E27" s="325"/>
      <c r="F27" s="325"/>
      <c r="G27" s="325"/>
      <c r="H27" s="325"/>
      <c r="I27" s="325"/>
      <c r="J27" s="325"/>
    </row>
    <row r="28" spans="1:13" ht="13.2" customHeight="1">
      <c r="A28" s="285" t="s">
        <v>73</v>
      </c>
      <c r="B28">
        <v>0.54141874661927203</v>
      </c>
      <c r="C28" s="303" t="s">
        <v>133</v>
      </c>
      <c r="D28">
        <f>$B$28*(1+0.15)</f>
        <v>0.62263155861216279</v>
      </c>
      <c r="E28">
        <f>$B$28*(1-0.1)</f>
        <v>0.48727687195734481</v>
      </c>
      <c r="F28" s="285" t="s">
        <v>74</v>
      </c>
      <c r="G28">
        <v>0.19751178425160301</v>
      </c>
      <c r="H28" s="305" t="s">
        <v>134</v>
      </c>
      <c r="I28">
        <f>$G$28*(1+0.15)</f>
        <v>0.22713855188934345</v>
      </c>
      <c r="J28">
        <f>$G$28*(1-0.15)</f>
        <v>0.16788501661386254</v>
      </c>
    </row>
    <row r="29" spans="1:13" ht="13.2" customHeight="1">
      <c r="C29" s="303" t="s">
        <v>135</v>
      </c>
      <c r="D29">
        <f>$B$28*(1+0.3)</f>
        <v>0.70384437060505367</v>
      </c>
      <c r="E29">
        <f>$B$28*(1-0.3)</f>
        <v>0.37899312263349039</v>
      </c>
      <c r="H29" s="305" t="s">
        <v>136</v>
      </c>
      <c r="I29">
        <f>$G$28*(1+0.3)</f>
        <v>0.25676531952708392</v>
      </c>
      <c r="J29">
        <f>$G$28*(1-0.3)</f>
        <v>0.1382582489761221</v>
      </c>
    </row>
    <row r="30" spans="1:13" ht="13.2" customHeight="1">
      <c r="A30" s="307" t="s">
        <v>137</v>
      </c>
      <c r="B30" s="307"/>
      <c r="C30" s="307"/>
      <c r="D30" s="307"/>
      <c r="E30" s="307"/>
      <c r="F30" s="307"/>
      <c r="G30" s="307"/>
      <c r="H30" s="307"/>
      <c r="I30" s="307"/>
      <c r="J30" s="307"/>
    </row>
    <row r="31" spans="1:13" ht="13.2" customHeight="1">
      <c r="A31" s="290" t="s">
        <v>76</v>
      </c>
      <c r="B31" s="290"/>
      <c r="C31" s="290" t="s">
        <v>76</v>
      </c>
      <c r="F31" s="290" t="s">
        <v>77</v>
      </c>
      <c r="H31" s="290" t="s">
        <v>77</v>
      </c>
    </row>
    <row r="32" spans="1:13" ht="13.2" customHeight="1">
      <c r="A32" t="s">
        <v>79</v>
      </c>
      <c r="B32">
        <v>0.51180357004868204</v>
      </c>
      <c r="C32" s="303" t="s">
        <v>138</v>
      </c>
      <c r="D32">
        <f>B32*(1+0.1)</f>
        <v>0.56298392705355027</v>
      </c>
      <c r="E32">
        <f>B32*(1-0.1)</f>
        <v>0.46062321304381387</v>
      </c>
      <c r="F32" t="s">
        <v>79</v>
      </c>
      <c r="G32">
        <v>0</v>
      </c>
      <c r="H32" s="303" t="s">
        <v>139</v>
      </c>
    </row>
    <row r="33" spans="1:10" ht="13.2" customHeight="1">
      <c r="A33" t="s">
        <v>80</v>
      </c>
      <c r="B33">
        <v>0</v>
      </c>
      <c r="C33" s="303" t="s">
        <v>140</v>
      </c>
      <c r="D33">
        <f>B33*(1+0)</f>
        <v>0</v>
      </c>
      <c r="E33">
        <f>B33*(1-0)</f>
        <v>0</v>
      </c>
      <c r="F33" t="s">
        <v>80</v>
      </c>
      <c r="G33">
        <f>48.8196429951318%</f>
        <v>0.48819642995131801</v>
      </c>
      <c r="H33" s="303" t="s">
        <v>141</v>
      </c>
      <c r="I33">
        <f>G33*(1+0.15)</f>
        <v>0.56142589444401569</v>
      </c>
      <c r="J33">
        <f>G33*(1-0.15)</f>
        <v>0.41496696545862027</v>
      </c>
    </row>
    <row r="34" spans="1:10" ht="13.2" customHeight="1">
      <c r="A34" t="s">
        <v>81</v>
      </c>
      <c r="B34">
        <v>0.10252298894984932</v>
      </c>
      <c r="C34" s="303" t="s">
        <v>142</v>
      </c>
      <c r="D34">
        <f>B34*(1+0.2)</f>
        <v>0.12302758673981917</v>
      </c>
      <c r="E34">
        <f>B34*(1-0.2)</f>
        <v>8.2018391159879467E-2</v>
      </c>
      <c r="F34" t="s">
        <v>81</v>
      </c>
      <c r="G34">
        <v>0</v>
      </c>
      <c r="H34" s="303" t="s">
        <v>143</v>
      </c>
    </row>
    <row r="35" spans="1:10" ht="13.2" customHeight="1">
      <c r="A35" t="s">
        <v>82</v>
      </c>
      <c r="B35">
        <v>2.4341241016922958E-3</v>
      </c>
      <c r="C35" s="303" t="s">
        <v>144</v>
      </c>
      <c r="D35">
        <f>B35*(1+0.5)</f>
        <v>3.6511861525384435E-3</v>
      </c>
      <c r="E35">
        <f>B35*(1-0.5)</f>
        <v>1.2170620508461479E-3</v>
      </c>
      <c r="F35" t="s">
        <v>82</v>
      </c>
      <c r="G35">
        <v>0</v>
      </c>
      <c r="H35" s="303" t="s">
        <v>145</v>
      </c>
    </row>
    <row r="36" spans="1:10" ht="13.2" customHeight="1">
      <c r="A36" t="s">
        <v>83</v>
      </c>
      <c r="B36">
        <v>0.10576848775210571</v>
      </c>
      <c r="C36" s="303" t="s">
        <v>146</v>
      </c>
      <c r="D36">
        <f>B36*(1+0.15)</f>
        <v>0.12163376091492155</v>
      </c>
      <c r="E36">
        <f>B36*(1-0.15)</f>
        <v>8.9903214589289848E-2</v>
      </c>
      <c r="F36" t="s">
        <v>83</v>
      </c>
      <c r="G36">
        <v>0</v>
      </c>
      <c r="H36" s="303" t="s">
        <v>147</v>
      </c>
    </row>
    <row r="37" spans="1:10" ht="13.2" customHeight="1">
      <c r="A37" t="s">
        <v>84</v>
      </c>
      <c r="B37">
        <v>7.9379491538520974E-2</v>
      </c>
      <c r="C37" s="303" t="s">
        <v>148</v>
      </c>
      <c r="D37">
        <f>B37*(1+0.2)</f>
        <v>9.5255389846225169E-2</v>
      </c>
      <c r="E37">
        <f>B37*(1-0.2)</f>
        <v>6.3503593230816779E-2</v>
      </c>
      <c r="F37" t="s">
        <v>84</v>
      </c>
      <c r="G37">
        <v>0</v>
      </c>
      <c r="H37" s="303" t="s">
        <v>149</v>
      </c>
    </row>
    <row r="38" spans="1:10" ht="13.2" customHeight="1">
      <c r="A38" t="s">
        <v>86</v>
      </c>
      <c r="B38">
        <v>2.6273085542075575E-3</v>
      </c>
      <c r="C38" s="303" t="s">
        <v>150</v>
      </c>
      <c r="D38">
        <f>B38*(1+0.5)</f>
        <v>3.9409628313113367E-3</v>
      </c>
      <c r="E38">
        <f>B38*(1-0.5)</f>
        <v>1.3136542771037788E-3</v>
      </c>
      <c r="F38" t="s">
        <v>86</v>
      </c>
      <c r="G38">
        <v>0</v>
      </c>
      <c r="H38" s="303" t="s">
        <v>151</v>
      </c>
    </row>
    <row r="39" spans="1:10" ht="13.2" customHeight="1">
      <c r="A39" t="s">
        <v>87</v>
      </c>
      <c r="B39">
        <v>0.68335136388223472</v>
      </c>
      <c r="C39" s="303" t="s">
        <v>152</v>
      </c>
      <c r="D39">
        <f>B39*(1+0.05)</f>
        <v>0.71751893207634654</v>
      </c>
      <c r="E39">
        <f>B39*(1-0.05)</f>
        <v>0.6491837956881229</v>
      </c>
      <c r="F39" t="s">
        <v>87</v>
      </c>
      <c r="G39">
        <v>0</v>
      </c>
      <c r="H39" s="303" t="s">
        <v>153</v>
      </c>
    </row>
    <row r="40" spans="1:10" ht="13.2" customHeight="1">
      <c r="A40" t="s">
        <v>88</v>
      </c>
      <c r="B40">
        <v>2.3916235221389383E-2</v>
      </c>
      <c r="C40" s="303" t="s">
        <v>154</v>
      </c>
      <c r="D40">
        <f>B40*(1+0.3)</f>
        <v>3.10911057878062E-2</v>
      </c>
      <c r="E40">
        <f>B40*(1-0.3)</f>
        <v>1.6741364654972567E-2</v>
      </c>
      <c r="F40" t="s">
        <v>88</v>
      </c>
      <c r="G40">
        <v>0</v>
      </c>
      <c r="H40" s="303" t="s">
        <v>155</v>
      </c>
    </row>
    <row r="41" spans="1:10" ht="13.2" customHeight="1">
      <c r="A41" t="s">
        <v>89</v>
      </c>
      <c r="B41">
        <v>0</v>
      </c>
      <c r="C41" s="303" t="s">
        <v>156</v>
      </c>
      <c r="F41" t="s">
        <v>89</v>
      </c>
      <c r="G41">
        <f>87.7559693995827%</f>
        <v>0.87755969399582701</v>
      </c>
      <c r="H41" s="303" t="s">
        <v>157</v>
      </c>
      <c r="I41">
        <f>G41*(1+0.1)</f>
        <v>0.96531566339540975</v>
      </c>
      <c r="J41">
        <f>G41*(1-0.1)</f>
        <v>0.78980372459624437</v>
      </c>
    </row>
    <row r="42" spans="1:10" ht="13.2" customHeight="1">
      <c r="A42" t="s">
        <v>90</v>
      </c>
      <c r="B42">
        <v>0.12244030600417279</v>
      </c>
      <c r="C42" s="303" t="s">
        <v>158</v>
      </c>
      <c r="D42">
        <f>B42*(1+0.25)</f>
        <v>0.15305038250521599</v>
      </c>
      <c r="E42">
        <f>B42*(1-0.25)</f>
        <v>9.1830229503129593E-2</v>
      </c>
      <c r="F42" t="s">
        <v>90</v>
      </c>
      <c r="G42">
        <v>0</v>
      </c>
      <c r="H42" s="303" t="s">
        <v>159</v>
      </c>
    </row>
    <row r="43" spans="1:10" ht="13.2" customHeight="1">
      <c r="A43" t="s">
        <v>91</v>
      </c>
      <c r="B43">
        <v>0.17987404373696006</v>
      </c>
      <c r="C43" s="303" t="s">
        <v>160</v>
      </c>
      <c r="D43">
        <f>B43*(1+0.15)</f>
        <v>0.20685515029750406</v>
      </c>
      <c r="E43">
        <f>B43*(1-0.15)</f>
        <v>0.15289293717641605</v>
      </c>
      <c r="F43" t="s">
        <v>91</v>
      </c>
      <c r="G43">
        <v>0</v>
      </c>
      <c r="H43" s="303" t="s">
        <v>161</v>
      </c>
    </row>
    <row r="44" spans="1:10" ht="13.2" customHeight="1">
      <c r="A44" t="s">
        <v>92</v>
      </c>
      <c r="B44">
        <v>0.82012595626303997</v>
      </c>
      <c r="C44" s="303" t="s">
        <v>162</v>
      </c>
      <c r="D44">
        <f>B44*(1+0.05)</f>
        <v>0.86113225407619198</v>
      </c>
      <c r="E44">
        <f>B44*(1-0.05)</f>
        <v>0.77911965844988795</v>
      </c>
      <c r="F44" t="s">
        <v>92</v>
      </c>
      <c r="G44">
        <v>0</v>
      </c>
      <c r="H44" s="303" t="s">
        <v>163</v>
      </c>
    </row>
    <row r="45" spans="1:10" ht="13.2" customHeight="1">
      <c r="A45" s="290" t="s">
        <v>93</v>
      </c>
      <c r="C45" s="290" t="s">
        <v>93</v>
      </c>
      <c r="F45" s="290" t="s">
        <v>94</v>
      </c>
      <c r="H45" s="290" t="s">
        <v>94</v>
      </c>
    </row>
    <row r="46" spans="1:10" ht="13.2" customHeight="1">
      <c r="A46" t="s">
        <v>79</v>
      </c>
      <c r="B46">
        <v>12.895185897316447</v>
      </c>
      <c r="C46" s="303" t="s">
        <v>138</v>
      </c>
      <c r="D46">
        <f t="shared" ref="D46:D47" si="3">B46*(1+0.1)</f>
        <v>14.184704487048093</v>
      </c>
      <c r="E46">
        <f t="shared" ref="E46:E47" si="4">B46*(1-0.1)</f>
        <v>11.605667307584802</v>
      </c>
      <c r="F46" t="s">
        <v>79</v>
      </c>
      <c r="G46">
        <v>5.4540001586097597</v>
      </c>
      <c r="H46" s="303" t="s">
        <v>138</v>
      </c>
      <c r="I46">
        <f>G46*(1+0.1)</f>
        <v>5.9994001744707361</v>
      </c>
      <c r="J46">
        <f>G46*(1-0.1)</f>
        <v>4.9086001427487842</v>
      </c>
    </row>
    <row r="47" spans="1:10" ht="13.2" customHeight="1">
      <c r="A47" t="s">
        <v>80</v>
      </c>
      <c r="B47">
        <v>18.787808490653891</v>
      </c>
      <c r="C47" s="303" t="s">
        <v>164</v>
      </c>
      <c r="D47">
        <f t="shared" si="3"/>
        <v>20.66658933971928</v>
      </c>
      <c r="E47">
        <f t="shared" si="4"/>
        <v>16.909027641588501</v>
      </c>
      <c r="F47" t="s">
        <v>80</v>
      </c>
      <c r="G47">
        <v>7.8841411774237304</v>
      </c>
      <c r="H47" s="303" t="s">
        <v>164</v>
      </c>
      <c r="I47">
        <f>G47*(1+0.1)</f>
        <v>8.672555295166104</v>
      </c>
      <c r="J47">
        <f>G47*(1-0.1)</f>
        <v>7.0957270596813578</v>
      </c>
    </row>
    <row r="48" spans="1:10" ht="13.2"/>
    <row r="49" spans="1:6" ht="13.2"/>
    <row r="50" spans="1:6" ht="13.2"/>
    <row r="51" spans="1:6" ht="13.2"/>
    <row r="52" spans="1:6" ht="13.2"/>
    <row r="53" spans="1:6" ht="13.2"/>
    <row r="54" spans="1:6" ht="13.2"/>
    <row r="55" spans="1:6" ht="13.2">
      <c r="A55" s="290"/>
      <c r="F55" s="290"/>
    </row>
    <row r="56" spans="1:6" ht="13.2"/>
    <row r="57" spans="1:6" ht="13.2"/>
  </sheetData>
  <mergeCells count="8">
    <mergeCell ref="A20:J20"/>
    <mergeCell ref="A22:J22"/>
    <mergeCell ref="A27:J27"/>
    <mergeCell ref="G13:M13"/>
    <mergeCell ref="G2:M2"/>
    <mergeCell ref="G11:M12"/>
    <mergeCell ref="G1:M1"/>
    <mergeCell ref="A19:J19"/>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0" tint="-0.249977111117893"/>
  </sheetPr>
  <dimension ref="A1:N38"/>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1" t="s">
        <v>433</v>
      </c>
      <c r="B1" s="321"/>
      <c r="C1" s="321"/>
      <c r="D1" s="321"/>
      <c r="E1" s="321"/>
      <c r="F1" s="321"/>
      <c r="G1" s="321"/>
      <c r="H1" s="321"/>
      <c r="I1" s="321"/>
      <c r="J1" s="321"/>
      <c r="K1" s="321"/>
      <c r="L1" s="321"/>
      <c r="M1" s="321"/>
      <c r="N1" s="321"/>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30" t="s">
        <v>325</v>
      </c>
      <c r="B5" s="7">
        <v>91000</v>
      </c>
      <c r="C5" s="19" t="s">
        <v>191</v>
      </c>
      <c r="D5" s="19" t="s">
        <v>220</v>
      </c>
      <c r="E5" s="19" t="s">
        <v>191</v>
      </c>
      <c r="F5" s="19" t="s">
        <v>191</v>
      </c>
      <c r="G5" s="19" t="s">
        <v>220</v>
      </c>
      <c r="H5" s="71">
        <v>102000</v>
      </c>
      <c r="I5" s="19" t="s">
        <v>222</v>
      </c>
      <c r="J5" s="7">
        <v>91000</v>
      </c>
      <c r="K5" s="19" t="s">
        <v>191</v>
      </c>
      <c r="L5" s="7">
        <v>89000</v>
      </c>
      <c r="M5" s="19" t="s">
        <v>191</v>
      </c>
    </row>
    <row r="6" spans="1:14" ht="12.45" customHeight="1">
      <c r="A6" s="15" t="s">
        <v>326</v>
      </c>
      <c r="B6" s="9">
        <v>88000</v>
      </c>
      <c r="C6" s="13" t="s">
        <v>220</v>
      </c>
      <c r="D6" s="13" t="s">
        <v>220</v>
      </c>
      <c r="E6" s="9">
        <v>95000</v>
      </c>
      <c r="F6" s="9">
        <v>98000</v>
      </c>
      <c r="G6" s="13" t="s">
        <v>220</v>
      </c>
      <c r="H6" s="34">
        <v>86000</v>
      </c>
      <c r="I6" s="13" t="s">
        <v>220</v>
      </c>
      <c r="J6" s="9">
        <v>92000</v>
      </c>
      <c r="K6" s="9">
        <v>73000</v>
      </c>
      <c r="L6" s="9">
        <v>88000</v>
      </c>
      <c r="M6" s="9">
        <v>88000</v>
      </c>
    </row>
    <row r="7" spans="1:14" ht="36.75" customHeight="1">
      <c r="A7" s="12" t="s">
        <v>230</v>
      </c>
      <c r="B7" s="25">
        <v>75000</v>
      </c>
      <c r="C7" s="25">
        <v>75000</v>
      </c>
      <c r="D7" s="26" t="s">
        <v>222</v>
      </c>
      <c r="E7" s="25">
        <v>80000</v>
      </c>
      <c r="F7" s="25">
        <v>79000</v>
      </c>
      <c r="G7" s="26" t="s">
        <v>220</v>
      </c>
      <c r="H7" s="36">
        <v>73000</v>
      </c>
      <c r="I7" s="25">
        <v>64000</v>
      </c>
      <c r="J7" s="25">
        <v>75000</v>
      </c>
      <c r="K7" s="25">
        <v>65000</v>
      </c>
      <c r="L7" s="25">
        <v>75000</v>
      </c>
      <c r="M7" s="25">
        <v>71000</v>
      </c>
    </row>
    <row r="8" spans="1:14" ht="24.75" customHeight="1">
      <c r="A8" s="15" t="s">
        <v>323</v>
      </c>
      <c r="B8" s="11">
        <v>52000</v>
      </c>
      <c r="C8" s="11">
        <v>52000</v>
      </c>
      <c r="D8" s="16" t="s">
        <v>220</v>
      </c>
      <c r="E8" s="11">
        <v>41000</v>
      </c>
      <c r="F8" s="11">
        <v>58000</v>
      </c>
      <c r="G8" s="16" t="s">
        <v>220</v>
      </c>
      <c r="H8" s="37">
        <v>49000</v>
      </c>
      <c r="I8" s="16" t="s">
        <v>191</v>
      </c>
      <c r="J8" s="11">
        <v>52000</v>
      </c>
      <c r="K8" s="11">
        <v>39000</v>
      </c>
      <c r="L8" s="11">
        <v>51000</v>
      </c>
      <c r="M8" s="11">
        <v>66000</v>
      </c>
    </row>
    <row r="9" spans="1:14" ht="12.45" customHeight="1">
      <c r="A9" s="15" t="s">
        <v>324</v>
      </c>
      <c r="B9" s="9">
        <v>77000</v>
      </c>
      <c r="C9" s="9">
        <v>78000</v>
      </c>
      <c r="D9" s="13" t="s">
        <v>220</v>
      </c>
      <c r="E9" s="9">
        <v>91000</v>
      </c>
      <c r="F9" s="9">
        <v>79000</v>
      </c>
      <c r="G9" s="13" t="s">
        <v>220</v>
      </c>
      <c r="H9" s="34">
        <v>75000</v>
      </c>
      <c r="I9" s="13" t="s">
        <v>191</v>
      </c>
      <c r="J9" s="9">
        <v>77000</v>
      </c>
      <c r="K9" s="9">
        <v>76000</v>
      </c>
      <c r="L9" s="9">
        <v>77000</v>
      </c>
      <c r="M9" s="9">
        <v>62000</v>
      </c>
    </row>
    <row r="10" spans="1:14" ht="12.45" customHeight="1">
      <c r="A10" s="15" t="s">
        <v>325</v>
      </c>
      <c r="B10" s="9">
        <v>75000</v>
      </c>
      <c r="C10" s="9">
        <v>74000</v>
      </c>
      <c r="D10" s="13" t="s">
        <v>220</v>
      </c>
      <c r="E10" s="9">
        <v>97000</v>
      </c>
      <c r="F10" s="9">
        <v>86000</v>
      </c>
      <c r="G10" s="13" t="s">
        <v>220</v>
      </c>
      <c r="H10" s="34">
        <v>76000</v>
      </c>
      <c r="I10" s="9">
        <v>64000</v>
      </c>
      <c r="J10" s="9">
        <v>77000</v>
      </c>
      <c r="K10" s="9">
        <v>57000</v>
      </c>
      <c r="L10" s="9">
        <v>75000</v>
      </c>
      <c r="M10" s="9">
        <v>101000</v>
      </c>
    </row>
    <row r="11" spans="1:14" ht="12.45" customHeight="1">
      <c r="A11" s="15" t="s">
        <v>326</v>
      </c>
      <c r="B11" s="9">
        <v>93000</v>
      </c>
      <c r="C11" s="9">
        <v>85000</v>
      </c>
      <c r="D11" s="13" t="s">
        <v>220</v>
      </c>
      <c r="E11" s="9">
        <v>92000</v>
      </c>
      <c r="F11" s="9">
        <v>80000</v>
      </c>
      <c r="G11" s="13" t="s">
        <v>220</v>
      </c>
      <c r="H11" s="34">
        <v>94000</v>
      </c>
      <c r="I11" s="13" t="s">
        <v>222</v>
      </c>
      <c r="J11" s="9">
        <v>100000</v>
      </c>
      <c r="K11" s="9">
        <v>72000</v>
      </c>
      <c r="L11" s="9">
        <v>94000</v>
      </c>
      <c r="M11" s="13" t="s">
        <v>191</v>
      </c>
    </row>
    <row r="12" spans="1:14" ht="12.45" customHeight="1">
      <c r="A12" s="12" t="s">
        <v>231</v>
      </c>
      <c r="B12" s="9">
        <v>93000</v>
      </c>
      <c r="C12" s="9">
        <v>75000</v>
      </c>
      <c r="D12" s="13" t="s">
        <v>220</v>
      </c>
      <c r="E12" s="9">
        <v>100000</v>
      </c>
      <c r="F12" s="9">
        <v>96000</v>
      </c>
      <c r="G12" s="13" t="s">
        <v>220</v>
      </c>
      <c r="H12" s="34">
        <v>94000</v>
      </c>
      <c r="I12" s="9">
        <v>89000</v>
      </c>
      <c r="J12" s="9">
        <v>95000</v>
      </c>
      <c r="K12" s="9">
        <v>81000</v>
      </c>
      <c r="L12" s="9">
        <v>93000</v>
      </c>
      <c r="M12" s="9">
        <v>90000</v>
      </c>
    </row>
    <row r="13" spans="1:14" ht="24.75" customHeight="1">
      <c r="A13" s="15" t="s">
        <v>323</v>
      </c>
      <c r="B13" s="11">
        <v>74000</v>
      </c>
      <c r="C13" s="11">
        <v>69000</v>
      </c>
      <c r="D13" s="16" t="s">
        <v>220</v>
      </c>
      <c r="E13" s="11">
        <v>80000</v>
      </c>
      <c r="F13" s="11">
        <v>86000</v>
      </c>
      <c r="G13" s="16" t="s">
        <v>220</v>
      </c>
      <c r="H13" s="37">
        <v>72000</v>
      </c>
      <c r="I13" s="11">
        <v>69000</v>
      </c>
      <c r="J13" s="11">
        <v>74000</v>
      </c>
      <c r="K13" s="11">
        <v>72000</v>
      </c>
      <c r="L13" s="11">
        <v>75000</v>
      </c>
      <c r="M13" s="11">
        <v>65000</v>
      </c>
    </row>
    <row r="14" spans="1:14" ht="12.45" customHeight="1">
      <c r="A14" s="15" t="s">
        <v>324</v>
      </c>
      <c r="B14" s="9">
        <v>100000</v>
      </c>
      <c r="C14" s="9">
        <v>71000</v>
      </c>
      <c r="D14" s="13" t="s">
        <v>220</v>
      </c>
      <c r="E14" s="9">
        <v>106000</v>
      </c>
      <c r="F14" s="9">
        <v>81000</v>
      </c>
      <c r="G14" s="13" t="s">
        <v>220</v>
      </c>
      <c r="H14" s="67">
        <v>102000</v>
      </c>
      <c r="I14" s="9">
        <v>107000</v>
      </c>
      <c r="J14" s="9">
        <v>100000</v>
      </c>
      <c r="K14" s="9">
        <v>101000</v>
      </c>
      <c r="L14" s="9">
        <v>100000</v>
      </c>
      <c r="M14" s="9">
        <v>95000</v>
      </c>
    </row>
    <row r="15" spans="1:14" ht="12.45" customHeight="1">
      <c r="A15" s="15" t="s">
        <v>325</v>
      </c>
      <c r="B15" s="9">
        <v>119000</v>
      </c>
      <c r="C15" s="9">
        <v>133000</v>
      </c>
      <c r="D15" s="13" t="s">
        <v>220</v>
      </c>
      <c r="E15" s="9">
        <v>130000</v>
      </c>
      <c r="F15" s="9">
        <v>84000</v>
      </c>
      <c r="G15" s="13" t="s">
        <v>220</v>
      </c>
      <c r="H15" s="67">
        <v>104000</v>
      </c>
      <c r="I15" s="13" t="s">
        <v>220</v>
      </c>
      <c r="J15" s="9">
        <v>126000</v>
      </c>
      <c r="K15" s="13" t="s">
        <v>191</v>
      </c>
      <c r="L15" s="9">
        <v>118000</v>
      </c>
      <c r="M15" s="9">
        <v>152000</v>
      </c>
    </row>
    <row r="16" spans="1:14" ht="12.45" customHeight="1">
      <c r="A16" s="15" t="s">
        <v>326</v>
      </c>
      <c r="B16" s="9">
        <v>121000</v>
      </c>
      <c r="C16" s="9">
        <v>119000</v>
      </c>
      <c r="D16" s="13" t="s">
        <v>220</v>
      </c>
      <c r="E16" s="9">
        <v>107000</v>
      </c>
      <c r="F16" s="9">
        <v>118000</v>
      </c>
      <c r="G16" s="13" t="s">
        <v>220</v>
      </c>
      <c r="H16" s="67">
        <v>124000</v>
      </c>
      <c r="I16" s="13" t="s">
        <v>222</v>
      </c>
      <c r="J16" s="9">
        <v>124000</v>
      </c>
      <c r="K16" s="9">
        <v>70000</v>
      </c>
      <c r="L16" s="9">
        <v>121000</v>
      </c>
      <c r="M16" s="13" t="s">
        <v>191</v>
      </c>
    </row>
    <row r="17" spans="1:13" ht="24.75" customHeight="1">
      <c r="A17" s="10" t="s">
        <v>175</v>
      </c>
      <c r="B17" s="11">
        <v>75000</v>
      </c>
      <c r="C17" s="11">
        <v>75000</v>
      </c>
      <c r="D17" s="11">
        <v>68000</v>
      </c>
      <c r="E17" s="11">
        <v>89000</v>
      </c>
      <c r="F17" s="11">
        <v>70000</v>
      </c>
      <c r="G17" s="16" t="s">
        <v>191</v>
      </c>
      <c r="H17" s="37">
        <v>73000</v>
      </c>
      <c r="I17" s="11">
        <v>78000</v>
      </c>
      <c r="J17" s="11">
        <v>75000</v>
      </c>
      <c r="K17" s="11">
        <v>65000</v>
      </c>
      <c r="L17" s="11">
        <v>75000</v>
      </c>
      <c r="M17" s="11">
        <v>55000</v>
      </c>
    </row>
    <row r="18" spans="1:13" ht="24.75" customHeight="1">
      <c r="A18" s="12" t="s">
        <v>323</v>
      </c>
      <c r="B18" s="11">
        <v>58000</v>
      </c>
      <c r="C18" s="11">
        <v>59000</v>
      </c>
      <c r="D18" s="16" t="s">
        <v>191</v>
      </c>
      <c r="E18" s="11">
        <v>64000</v>
      </c>
      <c r="F18" s="11">
        <v>49000</v>
      </c>
      <c r="G18" s="16" t="s">
        <v>220</v>
      </c>
      <c r="H18" s="37">
        <v>58000</v>
      </c>
      <c r="I18" s="11">
        <v>52000</v>
      </c>
      <c r="J18" s="11">
        <v>58000</v>
      </c>
      <c r="K18" s="11">
        <v>59000</v>
      </c>
      <c r="L18" s="11">
        <v>58000</v>
      </c>
      <c r="M18" s="11">
        <v>55000</v>
      </c>
    </row>
    <row r="19" spans="1:13" ht="12.45" customHeight="1">
      <c r="A19" s="12" t="s">
        <v>324</v>
      </c>
      <c r="B19" s="9">
        <v>74000</v>
      </c>
      <c r="C19" s="9">
        <v>67000</v>
      </c>
      <c r="D19" s="9">
        <v>64000</v>
      </c>
      <c r="E19" s="9">
        <v>100000</v>
      </c>
      <c r="F19" s="9">
        <v>66000</v>
      </c>
      <c r="G19" s="13" t="s">
        <v>220</v>
      </c>
      <c r="H19" s="34">
        <v>72000</v>
      </c>
      <c r="I19" s="9">
        <v>95000</v>
      </c>
      <c r="J19" s="9">
        <v>75000</v>
      </c>
      <c r="K19" s="9">
        <v>53000</v>
      </c>
      <c r="L19" s="9">
        <v>74000</v>
      </c>
      <c r="M19" s="9">
        <v>61000</v>
      </c>
    </row>
    <row r="20" spans="1:13" ht="12.45" customHeight="1">
      <c r="A20" s="12" t="s">
        <v>325</v>
      </c>
      <c r="B20" s="9">
        <v>84000</v>
      </c>
      <c r="C20" s="9">
        <v>85000</v>
      </c>
      <c r="D20" s="13" t="s">
        <v>191</v>
      </c>
      <c r="E20" s="9">
        <v>91000</v>
      </c>
      <c r="F20" s="9">
        <v>74000</v>
      </c>
      <c r="G20" s="13" t="s">
        <v>191</v>
      </c>
      <c r="H20" s="34">
        <v>84000</v>
      </c>
      <c r="I20" s="9">
        <v>80000</v>
      </c>
      <c r="J20" s="9">
        <v>85000</v>
      </c>
      <c r="K20" s="9">
        <v>69000</v>
      </c>
      <c r="L20" s="9">
        <v>85000</v>
      </c>
      <c r="M20" s="13" t="s">
        <v>191</v>
      </c>
    </row>
    <row r="21" spans="1:13" ht="12.45" customHeight="1">
      <c r="A21" s="12" t="s">
        <v>326</v>
      </c>
      <c r="B21" s="9">
        <v>85000</v>
      </c>
      <c r="C21" s="9">
        <v>98000</v>
      </c>
      <c r="D21" s="13" t="s">
        <v>220</v>
      </c>
      <c r="E21" s="9">
        <v>89000</v>
      </c>
      <c r="F21" s="9">
        <v>79000</v>
      </c>
      <c r="G21" s="13" t="s">
        <v>220</v>
      </c>
      <c r="H21" s="34">
        <v>84000</v>
      </c>
      <c r="I21" s="9">
        <v>66000</v>
      </c>
      <c r="J21" s="9">
        <v>88000</v>
      </c>
      <c r="K21" s="9">
        <v>72000</v>
      </c>
      <c r="L21" s="9">
        <v>85000</v>
      </c>
      <c r="M21" s="9">
        <v>74000</v>
      </c>
    </row>
    <row r="22" spans="1:13" ht="24.75" customHeight="1">
      <c r="A22" s="10" t="s">
        <v>176</v>
      </c>
      <c r="B22" s="11">
        <v>62000</v>
      </c>
      <c r="C22" s="11">
        <v>56000</v>
      </c>
      <c r="D22" s="11">
        <v>57000</v>
      </c>
      <c r="E22" s="11">
        <v>70000</v>
      </c>
      <c r="F22" s="11">
        <v>58000</v>
      </c>
      <c r="G22" s="11">
        <v>78000</v>
      </c>
      <c r="H22" s="37">
        <v>62000</v>
      </c>
      <c r="I22" s="11">
        <v>64000</v>
      </c>
      <c r="J22" s="11">
        <v>62000</v>
      </c>
      <c r="K22" s="11">
        <v>55000</v>
      </c>
      <c r="L22" s="11">
        <v>62000</v>
      </c>
      <c r="M22" s="11">
        <v>59000</v>
      </c>
    </row>
    <row r="23" spans="1:13" ht="24.75" customHeight="1">
      <c r="A23" s="12" t="s">
        <v>323</v>
      </c>
      <c r="B23" s="11">
        <v>47000</v>
      </c>
      <c r="C23" s="11">
        <v>48000</v>
      </c>
      <c r="D23" s="16" t="s">
        <v>191</v>
      </c>
      <c r="E23" s="11">
        <v>54000</v>
      </c>
      <c r="F23" s="11">
        <v>44000</v>
      </c>
      <c r="G23" s="16" t="s">
        <v>191</v>
      </c>
      <c r="H23" s="37">
        <v>46000</v>
      </c>
      <c r="I23" s="11">
        <v>49000</v>
      </c>
      <c r="J23" s="11">
        <v>49000</v>
      </c>
      <c r="K23" s="11">
        <v>38000</v>
      </c>
      <c r="L23" s="11">
        <v>47000</v>
      </c>
      <c r="M23" s="11">
        <v>42000</v>
      </c>
    </row>
    <row r="24" spans="1:13" ht="12.45" customHeight="1">
      <c r="A24" s="12" t="s">
        <v>324</v>
      </c>
      <c r="B24" s="9">
        <v>61000</v>
      </c>
      <c r="C24" s="9">
        <v>56000</v>
      </c>
      <c r="D24" s="13" t="s">
        <v>191</v>
      </c>
      <c r="E24" s="9">
        <v>76000</v>
      </c>
      <c r="F24" s="9">
        <v>54000</v>
      </c>
      <c r="G24" s="13" t="s">
        <v>191</v>
      </c>
      <c r="H24" s="34">
        <v>60000</v>
      </c>
      <c r="I24" s="9">
        <v>70000</v>
      </c>
      <c r="J24" s="9">
        <v>62000</v>
      </c>
      <c r="K24" s="9">
        <v>52000</v>
      </c>
      <c r="L24" s="9">
        <v>60000</v>
      </c>
      <c r="M24" s="9">
        <v>65000</v>
      </c>
    </row>
    <row r="25" spans="1:13" ht="12.45" customHeight="1">
      <c r="A25" s="12" t="s">
        <v>325</v>
      </c>
      <c r="B25" s="9">
        <v>70000</v>
      </c>
      <c r="C25" s="9">
        <v>70000</v>
      </c>
      <c r="D25" s="13" t="s">
        <v>191</v>
      </c>
      <c r="E25" s="9">
        <v>84000</v>
      </c>
      <c r="F25" s="9">
        <v>63000</v>
      </c>
      <c r="G25" s="13" t="s">
        <v>191</v>
      </c>
      <c r="H25" s="34">
        <v>70000</v>
      </c>
      <c r="I25" s="9">
        <v>65000</v>
      </c>
      <c r="J25" s="9">
        <v>70000</v>
      </c>
      <c r="K25" s="9">
        <v>62000</v>
      </c>
      <c r="L25" s="9">
        <v>70000</v>
      </c>
      <c r="M25" s="9">
        <v>48000</v>
      </c>
    </row>
    <row r="26" spans="1:13" ht="12.45" customHeight="1">
      <c r="A26" s="12" t="s">
        <v>326</v>
      </c>
      <c r="B26" s="9">
        <v>68000</v>
      </c>
      <c r="C26" s="9">
        <v>56000</v>
      </c>
      <c r="D26" s="9">
        <v>41000</v>
      </c>
      <c r="E26" s="9">
        <v>65000</v>
      </c>
      <c r="F26" s="9">
        <v>64000</v>
      </c>
      <c r="G26" s="13" t="s">
        <v>191</v>
      </c>
      <c r="H26" s="34">
        <v>70000</v>
      </c>
      <c r="I26" s="13" t="s">
        <v>191</v>
      </c>
      <c r="J26" s="9">
        <v>69000</v>
      </c>
      <c r="K26" s="9">
        <v>63000</v>
      </c>
      <c r="L26" s="9">
        <v>69000</v>
      </c>
      <c r="M26" s="9">
        <v>39000</v>
      </c>
    </row>
    <row r="27" spans="1:13" ht="12.45" customHeight="1">
      <c r="A27" s="8" t="s">
        <v>283</v>
      </c>
      <c r="B27" s="9">
        <v>90000</v>
      </c>
      <c r="C27" s="9">
        <v>78000</v>
      </c>
      <c r="D27" s="9">
        <v>61000</v>
      </c>
      <c r="E27" s="9">
        <v>107000</v>
      </c>
      <c r="F27" s="9">
        <v>70000</v>
      </c>
      <c r="G27" s="9">
        <v>79000</v>
      </c>
      <c r="H27" s="34">
        <v>91000</v>
      </c>
      <c r="I27" s="9">
        <v>90000</v>
      </c>
      <c r="J27" s="9">
        <v>90000</v>
      </c>
      <c r="K27" s="9">
        <v>82000</v>
      </c>
      <c r="L27" s="9">
        <v>90000</v>
      </c>
      <c r="M27" s="9">
        <v>103000</v>
      </c>
    </row>
    <row r="28" spans="1:13" ht="12.45" customHeight="1">
      <c r="A28" s="10" t="s">
        <v>323</v>
      </c>
      <c r="B28" s="9">
        <v>60000</v>
      </c>
      <c r="C28" s="9">
        <v>54000</v>
      </c>
      <c r="D28" s="13" t="s">
        <v>191</v>
      </c>
      <c r="E28" s="9">
        <v>76000</v>
      </c>
      <c r="F28" s="9">
        <v>50000</v>
      </c>
      <c r="G28" s="9">
        <v>50000</v>
      </c>
      <c r="H28" s="34">
        <v>60000</v>
      </c>
      <c r="I28" s="9">
        <v>59000</v>
      </c>
      <c r="J28" s="9">
        <v>60000</v>
      </c>
      <c r="K28" s="9">
        <v>60000</v>
      </c>
      <c r="L28" s="9">
        <v>60000</v>
      </c>
      <c r="M28" s="9">
        <v>83000</v>
      </c>
    </row>
    <row r="29" spans="1:13" ht="12.45" customHeight="1">
      <c r="A29" s="10" t="s">
        <v>324</v>
      </c>
      <c r="B29" s="9">
        <v>85000</v>
      </c>
      <c r="C29" s="9">
        <v>75000</v>
      </c>
      <c r="D29" s="9">
        <v>58000</v>
      </c>
      <c r="E29" s="9">
        <v>100000</v>
      </c>
      <c r="F29" s="9">
        <v>63000</v>
      </c>
      <c r="G29" s="13" t="s">
        <v>191</v>
      </c>
      <c r="H29" s="34">
        <v>85000</v>
      </c>
      <c r="I29" s="9">
        <v>94000</v>
      </c>
      <c r="J29" s="9">
        <v>85000</v>
      </c>
      <c r="K29" s="9">
        <v>75000</v>
      </c>
      <c r="L29" s="9">
        <v>82000</v>
      </c>
      <c r="M29" s="9">
        <v>106000</v>
      </c>
    </row>
    <row r="30" spans="1:13" ht="12.45" customHeight="1">
      <c r="A30" s="10" t="s">
        <v>325</v>
      </c>
      <c r="B30" s="9">
        <v>100000</v>
      </c>
      <c r="C30" s="9">
        <v>84000</v>
      </c>
      <c r="D30" s="13" t="s">
        <v>191</v>
      </c>
      <c r="E30" s="9">
        <v>130000</v>
      </c>
      <c r="F30" s="9">
        <v>84000</v>
      </c>
      <c r="G30" s="9">
        <v>78000</v>
      </c>
      <c r="H30" s="67">
        <v>101000</v>
      </c>
      <c r="I30" s="9">
        <v>103000</v>
      </c>
      <c r="J30" s="9">
        <v>101000</v>
      </c>
      <c r="K30" s="9">
        <v>85000</v>
      </c>
      <c r="L30" s="9">
        <v>100000</v>
      </c>
      <c r="M30" s="9">
        <v>110000</v>
      </c>
    </row>
    <row r="31" spans="1:13" ht="12.45" customHeight="1">
      <c r="A31" s="10" t="s">
        <v>326</v>
      </c>
      <c r="B31" s="9">
        <v>101000</v>
      </c>
      <c r="C31" s="9">
        <v>89000</v>
      </c>
      <c r="D31" s="9">
        <v>62000</v>
      </c>
      <c r="E31" s="9">
        <v>119000</v>
      </c>
      <c r="F31" s="9">
        <v>79000</v>
      </c>
      <c r="G31" s="9">
        <v>134000</v>
      </c>
      <c r="H31" s="67">
        <v>105000</v>
      </c>
      <c r="I31" s="9">
        <v>124000</v>
      </c>
      <c r="J31" s="9">
        <v>105000</v>
      </c>
      <c r="K31" s="9">
        <v>94000</v>
      </c>
      <c r="L31" s="9">
        <v>101000</v>
      </c>
      <c r="M31" s="9">
        <v>96000</v>
      </c>
    </row>
    <row r="32" spans="1:13" ht="24.75" customHeight="1">
      <c r="A32" s="10" t="s">
        <v>174</v>
      </c>
      <c r="B32" s="11">
        <v>102000</v>
      </c>
      <c r="C32" s="11">
        <v>91000</v>
      </c>
      <c r="D32" s="11">
        <v>58000</v>
      </c>
      <c r="E32" s="11">
        <v>115000</v>
      </c>
      <c r="F32" s="11">
        <v>90000</v>
      </c>
      <c r="G32" s="11">
        <v>89000</v>
      </c>
      <c r="H32" s="72">
        <v>101000</v>
      </c>
      <c r="I32" s="11">
        <v>100000</v>
      </c>
      <c r="J32" s="11">
        <v>103000</v>
      </c>
      <c r="K32" s="11">
        <v>98000</v>
      </c>
      <c r="L32" s="11">
        <v>100000</v>
      </c>
      <c r="M32" s="11">
        <v>110000</v>
      </c>
    </row>
    <row r="33" spans="1:13" ht="24.75" customHeight="1">
      <c r="A33" s="12" t="s">
        <v>323</v>
      </c>
      <c r="B33" s="11">
        <v>75000</v>
      </c>
      <c r="C33" s="11">
        <v>67000</v>
      </c>
      <c r="D33" s="16" t="s">
        <v>191</v>
      </c>
      <c r="E33" s="11">
        <v>84000</v>
      </c>
      <c r="F33" s="11">
        <v>67000</v>
      </c>
      <c r="G33" s="16" t="s">
        <v>191</v>
      </c>
      <c r="H33" s="37">
        <v>75000</v>
      </c>
      <c r="I33" s="11">
        <v>70000</v>
      </c>
      <c r="J33" s="11">
        <v>75000</v>
      </c>
      <c r="K33" s="11">
        <v>67000</v>
      </c>
      <c r="L33" s="11">
        <v>74000</v>
      </c>
      <c r="M33" s="11">
        <v>89000</v>
      </c>
    </row>
    <row r="34" spans="1:13" ht="12.45" customHeight="1">
      <c r="A34" s="12" t="s">
        <v>324</v>
      </c>
      <c r="B34" s="9">
        <v>100000</v>
      </c>
      <c r="C34" s="9">
        <v>90000</v>
      </c>
      <c r="D34" s="9">
        <v>73000</v>
      </c>
      <c r="E34" s="9">
        <v>110000</v>
      </c>
      <c r="F34" s="9">
        <v>85000</v>
      </c>
      <c r="G34" s="9">
        <v>116000</v>
      </c>
      <c r="H34" s="34">
        <v>99000</v>
      </c>
      <c r="I34" s="9">
        <v>100000</v>
      </c>
      <c r="J34" s="9">
        <v>100000</v>
      </c>
      <c r="K34" s="9">
        <v>85000</v>
      </c>
      <c r="L34" s="9">
        <v>96000</v>
      </c>
      <c r="M34" s="9">
        <v>115000</v>
      </c>
    </row>
    <row r="35" spans="1:13" ht="12.45" customHeight="1">
      <c r="A35" s="12" t="s">
        <v>325</v>
      </c>
      <c r="B35" s="9">
        <v>115000</v>
      </c>
      <c r="C35" s="9">
        <v>109000</v>
      </c>
      <c r="D35" s="13" t="s">
        <v>191</v>
      </c>
      <c r="E35" s="9">
        <v>127000</v>
      </c>
      <c r="F35" s="9">
        <v>90000</v>
      </c>
      <c r="G35" s="13" t="s">
        <v>191</v>
      </c>
      <c r="H35" s="67">
        <v>113000</v>
      </c>
      <c r="I35" s="9">
        <v>123000</v>
      </c>
      <c r="J35" s="9">
        <v>116000</v>
      </c>
      <c r="K35" s="9">
        <v>110000</v>
      </c>
      <c r="L35" s="9">
        <v>115000</v>
      </c>
      <c r="M35" s="9">
        <v>118000</v>
      </c>
    </row>
    <row r="36" spans="1:13" ht="12.45" customHeight="1">
      <c r="A36" s="12" t="s">
        <v>326</v>
      </c>
      <c r="B36" s="9">
        <v>120000</v>
      </c>
      <c r="C36" s="9">
        <v>105000</v>
      </c>
      <c r="D36" s="9">
        <v>88000</v>
      </c>
      <c r="E36" s="9">
        <v>130000</v>
      </c>
      <c r="F36" s="9">
        <v>110000</v>
      </c>
      <c r="G36" s="9">
        <v>99000</v>
      </c>
      <c r="H36" s="67">
        <v>120000</v>
      </c>
      <c r="I36" s="9">
        <v>131000</v>
      </c>
      <c r="J36" s="9">
        <v>120000</v>
      </c>
      <c r="K36" s="9">
        <v>109000</v>
      </c>
      <c r="L36" s="9">
        <v>120000</v>
      </c>
      <c r="M36" s="9">
        <v>119000</v>
      </c>
    </row>
    <row r="37" spans="1:13" ht="49.5" customHeight="1">
      <c r="A37" s="12" t="s">
        <v>227</v>
      </c>
      <c r="B37" s="25">
        <v>71000</v>
      </c>
      <c r="C37" s="25">
        <v>65000</v>
      </c>
      <c r="D37" s="26" t="s">
        <v>220</v>
      </c>
      <c r="E37" s="25">
        <v>87000</v>
      </c>
      <c r="F37" s="25">
        <v>76000</v>
      </c>
      <c r="G37" s="26" t="s">
        <v>220</v>
      </c>
      <c r="H37" s="36">
        <v>70000</v>
      </c>
      <c r="I37" s="26" t="s">
        <v>191</v>
      </c>
      <c r="J37" s="25">
        <v>71000</v>
      </c>
      <c r="K37" s="25">
        <v>71000</v>
      </c>
      <c r="L37" s="25">
        <v>75000</v>
      </c>
      <c r="M37" s="25">
        <v>59000</v>
      </c>
    </row>
    <row r="38" spans="1:13" ht="24.75" customHeight="1">
      <c r="A38" s="15" t="s">
        <v>323</v>
      </c>
      <c r="B38" s="11">
        <v>39000</v>
      </c>
      <c r="C38" s="11">
        <v>42000</v>
      </c>
      <c r="D38" s="16" t="s">
        <v>220</v>
      </c>
      <c r="E38" s="11">
        <v>32000</v>
      </c>
      <c r="F38" s="16" t="s">
        <v>191</v>
      </c>
      <c r="G38" s="16" t="s">
        <v>220</v>
      </c>
      <c r="H38" s="37">
        <v>39000</v>
      </c>
      <c r="I38" s="16" t="s">
        <v>191</v>
      </c>
      <c r="J38" s="11">
        <v>38000</v>
      </c>
      <c r="K38" s="11">
        <v>41000</v>
      </c>
      <c r="L38" s="11">
        <v>39000</v>
      </c>
      <c r="M38" s="11">
        <v>38000</v>
      </c>
    </row>
  </sheetData>
  <mergeCells count="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0" tint="-0.249977111117893"/>
  </sheetPr>
  <dimension ref="A1:N39"/>
  <sheetViews>
    <sheetView workbookViewId="0">
      <selection sqref="A1:Z1"/>
    </sheetView>
  </sheetViews>
  <sheetFormatPr defaultRowHeight="13.2"/>
  <cols>
    <col min="1" max="1" width="17.77734375" customWidth="1"/>
    <col min="2" max="2" width="8.44140625" customWidth="1"/>
    <col min="3" max="3" width="8.6640625" customWidth="1"/>
    <col min="4" max="4" width="9.77734375" customWidth="1"/>
    <col min="5" max="5" width="8.109375" customWidth="1"/>
    <col min="6" max="6" width="9.77734375" customWidth="1"/>
    <col min="7" max="7" width="9.44140625" customWidth="1"/>
    <col min="8" max="9" width="8.44140625" customWidth="1"/>
    <col min="10" max="10" width="8.77734375" customWidth="1"/>
    <col min="11" max="11" width="8.6640625" customWidth="1"/>
    <col min="12" max="13" width="8.44140625" customWidth="1"/>
    <col min="14" max="14" width="2.6640625" customWidth="1"/>
  </cols>
  <sheetData>
    <row r="1" spans="1:14" ht="50.25" customHeight="1">
      <c r="A1" s="321" t="s">
        <v>433</v>
      </c>
      <c r="B1" s="321"/>
      <c r="C1" s="321"/>
      <c r="D1" s="321"/>
      <c r="E1" s="321"/>
      <c r="F1" s="321"/>
      <c r="G1" s="321"/>
      <c r="H1" s="321"/>
      <c r="I1" s="321"/>
      <c r="J1" s="321"/>
      <c r="K1" s="321"/>
      <c r="L1" s="321"/>
      <c r="M1" s="321"/>
      <c r="N1" s="321"/>
    </row>
    <row r="2" spans="1:14" ht="1.95" customHeight="1"/>
    <row r="3" spans="1:14" ht="13.95" customHeight="1">
      <c r="A3" s="326" t="s">
        <v>331</v>
      </c>
      <c r="B3" s="380" t="s">
        <v>167</v>
      </c>
      <c r="C3" s="326" t="s">
        <v>265</v>
      </c>
      <c r="D3" s="382" t="s">
        <v>266</v>
      </c>
      <c r="E3" s="383"/>
      <c r="F3" s="383"/>
      <c r="G3" s="383"/>
      <c r="H3" s="383"/>
      <c r="I3" s="384"/>
      <c r="J3" s="326" t="s">
        <v>267</v>
      </c>
      <c r="K3" s="326" t="s">
        <v>268</v>
      </c>
      <c r="L3" s="385" t="s">
        <v>434</v>
      </c>
      <c r="M3" s="335" t="s">
        <v>435</v>
      </c>
    </row>
    <row r="4" spans="1:14" ht="62.25" customHeight="1">
      <c r="A4" s="370"/>
      <c r="B4" s="381"/>
      <c r="C4" s="370"/>
      <c r="D4" s="23" t="s">
        <v>270</v>
      </c>
      <c r="E4" s="22" t="s">
        <v>271</v>
      </c>
      <c r="F4" s="62" t="s">
        <v>272</v>
      </c>
      <c r="G4" s="23" t="s">
        <v>273</v>
      </c>
      <c r="H4" s="22" t="s">
        <v>274</v>
      </c>
      <c r="I4" s="63" t="s">
        <v>275</v>
      </c>
      <c r="J4" s="370"/>
      <c r="K4" s="370"/>
      <c r="L4" s="386"/>
      <c r="M4" s="336"/>
    </row>
    <row r="5" spans="1:14" ht="12.45" customHeight="1">
      <c r="A5" s="30" t="s">
        <v>324</v>
      </c>
      <c r="B5" s="7">
        <v>62000</v>
      </c>
      <c r="C5" s="73">
        <v>67000</v>
      </c>
      <c r="D5" s="19" t="s">
        <v>220</v>
      </c>
      <c r="E5" s="7">
        <v>63000</v>
      </c>
      <c r="F5" s="7">
        <v>48000</v>
      </c>
      <c r="G5" s="19" t="s">
        <v>220</v>
      </c>
      <c r="H5" s="74">
        <v>61000</v>
      </c>
      <c r="I5" s="7">
        <v>61000</v>
      </c>
      <c r="J5" s="7">
        <v>62000</v>
      </c>
      <c r="K5" s="7">
        <v>54000</v>
      </c>
      <c r="L5" s="7">
        <v>63000</v>
      </c>
      <c r="M5" s="7">
        <v>54000</v>
      </c>
    </row>
    <row r="6" spans="1:14" ht="12.45" customHeight="1">
      <c r="A6" s="15" t="s">
        <v>325</v>
      </c>
      <c r="B6" s="9">
        <v>89000</v>
      </c>
      <c r="C6" s="66">
        <v>72000</v>
      </c>
      <c r="D6" s="13" t="s">
        <v>220</v>
      </c>
      <c r="E6" s="9">
        <v>114000</v>
      </c>
      <c r="F6" s="9">
        <v>75000</v>
      </c>
      <c r="G6" s="13" t="s">
        <v>220</v>
      </c>
      <c r="H6" s="34">
        <v>84000</v>
      </c>
      <c r="I6" s="13" t="s">
        <v>220</v>
      </c>
      <c r="J6" s="9">
        <v>90000</v>
      </c>
      <c r="K6" s="9">
        <v>85000</v>
      </c>
      <c r="L6" s="9">
        <v>89000</v>
      </c>
      <c r="M6" s="9">
        <v>85000</v>
      </c>
    </row>
    <row r="7" spans="1:14" ht="12.45" customHeight="1">
      <c r="A7" s="15" t="s">
        <v>326</v>
      </c>
      <c r="B7" s="9">
        <v>107000</v>
      </c>
      <c r="C7" s="66">
        <v>70000</v>
      </c>
      <c r="D7" s="13" t="s">
        <v>220</v>
      </c>
      <c r="E7" s="9">
        <v>111000</v>
      </c>
      <c r="F7" s="9">
        <v>111000</v>
      </c>
      <c r="G7" s="13" t="s">
        <v>220</v>
      </c>
      <c r="H7" s="67">
        <v>109000</v>
      </c>
      <c r="I7" s="9">
        <v>101000</v>
      </c>
      <c r="J7" s="9">
        <v>111000</v>
      </c>
      <c r="K7" s="9">
        <v>95000</v>
      </c>
      <c r="L7" s="9">
        <v>109000</v>
      </c>
      <c r="M7" s="9">
        <v>80000</v>
      </c>
    </row>
    <row r="8" spans="1:14" ht="49.5" customHeight="1">
      <c r="A8" s="12" t="s">
        <v>228</v>
      </c>
      <c r="B8" s="25">
        <v>109000</v>
      </c>
      <c r="C8" s="68">
        <v>95000</v>
      </c>
      <c r="D8" s="26" t="s">
        <v>191</v>
      </c>
      <c r="E8" s="25">
        <v>120000</v>
      </c>
      <c r="F8" s="25">
        <v>90000</v>
      </c>
      <c r="G8" s="26" t="s">
        <v>191</v>
      </c>
      <c r="H8" s="70">
        <v>105000</v>
      </c>
      <c r="I8" s="25">
        <v>115000</v>
      </c>
      <c r="J8" s="25">
        <v>110000</v>
      </c>
      <c r="K8" s="25">
        <v>101000</v>
      </c>
      <c r="L8" s="25">
        <v>105000</v>
      </c>
      <c r="M8" s="25">
        <v>120000</v>
      </c>
    </row>
    <row r="9" spans="1:14" ht="24.75" customHeight="1">
      <c r="A9" s="15" t="s">
        <v>323</v>
      </c>
      <c r="B9" s="11">
        <v>81000</v>
      </c>
      <c r="C9" s="69">
        <v>61000</v>
      </c>
      <c r="D9" s="16" t="s">
        <v>220</v>
      </c>
      <c r="E9" s="11">
        <v>99000</v>
      </c>
      <c r="F9" s="11">
        <v>66000</v>
      </c>
      <c r="G9" s="16" t="s">
        <v>220</v>
      </c>
      <c r="H9" s="37">
        <v>80000</v>
      </c>
      <c r="I9" s="11">
        <v>87000</v>
      </c>
      <c r="J9" s="11">
        <v>82000</v>
      </c>
      <c r="K9" s="11">
        <v>75000</v>
      </c>
      <c r="L9" s="11">
        <v>79000</v>
      </c>
      <c r="M9" s="11">
        <v>104000</v>
      </c>
    </row>
    <row r="10" spans="1:14" ht="12.45" customHeight="1">
      <c r="A10" s="15" t="s">
        <v>324</v>
      </c>
      <c r="B10" s="9">
        <v>105000</v>
      </c>
      <c r="C10" s="66">
        <v>92000</v>
      </c>
      <c r="D10" s="13" t="s">
        <v>220</v>
      </c>
      <c r="E10" s="9">
        <v>120000</v>
      </c>
      <c r="F10" s="9">
        <v>89000</v>
      </c>
      <c r="G10" s="13" t="s">
        <v>191</v>
      </c>
      <c r="H10" s="67">
        <v>104000</v>
      </c>
      <c r="I10" s="9">
        <v>100000</v>
      </c>
      <c r="J10" s="9">
        <v>108000</v>
      </c>
      <c r="K10" s="9">
        <v>93000</v>
      </c>
      <c r="L10" s="9">
        <v>100000</v>
      </c>
      <c r="M10" s="9">
        <v>125000</v>
      </c>
    </row>
    <row r="11" spans="1:14" ht="12.45" customHeight="1">
      <c r="A11" s="15" t="s">
        <v>325</v>
      </c>
      <c r="B11" s="9">
        <v>120000</v>
      </c>
      <c r="C11" s="66">
        <v>115000</v>
      </c>
      <c r="D11" s="13" t="s">
        <v>220</v>
      </c>
      <c r="E11" s="9">
        <v>128000</v>
      </c>
      <c r="F11" s="9">
        <v>89000</v>
      </c>
      <c r="G11" s="13" t="s">
        <v>220</v>
      </c>
      <c r="H11" s="67">
        <v>119000</v>
      </c>
      <c r="I11" s="9">
        <v>113000</v>
      </c>
      <c r="J11" s="9">
        <v>120000</v>
      </c>
      <c r="K11" s="9">
        <v>110000</v>
      </c>
      <c r="L11" s="9">
        <v>120000</v>
      </c>
      <c r="M11" s="9">
        <v>124000</v>
      </c>
    </row>
    <row r="12" spans="1:14" ht="12.45" customHeight="1">
      <c r="A12" s="15" t="s">
        <v>326</v>
      </c>
      <c r="B12" s="9">
        <v>120000</v>
      </c>
      <c r="C12" s="66">
        <v>101000</v>
      </c>
      <c r="D12" s="13" t="s">
        <v>220</v>
      </c>
      <c r="E12" s="9">
        <v>133000</v>
      </c>
      <c r="F12" s="9">
        <v>115000</v>
      </c>
      <c r="G12" s="13" t="s">
        <v>191</v>
      </c>
      <c r="H12" s="67">
        <v>116000</v>
      </c>
      <c r="I12" s="9">
        <v>142000</v>
      </c>
      <c r="J12" s="9">
        <v>120000</v>
      </c>
      <c r="K12" s="9">
        <v>111000</v>
      </c>
      <c r="L12" s="9">
        <v>120000</v>
      </c>
      <c r="M12" s="9">
        <v>120000</v>
      </c>
    </row>
    <row r="13" spans="1:14" ht="36.75" customHeight="1">
      <c r="A13" s="12" t="s">
        <v>229</v>
      </c>
      <c r="B13" s="25">
        <v>80000</v>
      </c>
      <c r="C13" s="68">
        <v>54000</v>
      </c>
      <c r="D13" s="26" t="s">
        <v>222</v>
      </c>
      <c r="E13" s="25">
        <v>63000</v>
      </c>
      <c r="F13" s="25">
        <v>55000</v>
      </c>
      <c r="G13" s="26" t="s">
        <v>191</v>
      </c>
      <c r="H13" s="36">
        <v>90000</v>
      </c>
      <c r="I13" s="25">
        <v>72000</v>
      </c>
      <c r="J13" s="25">
        <v>80000</v>
      </c>
      <c r="K13" s="25">
        <v>78000</v>
      </c>
      <c r="L13" s="25">
        <v>84000</v>
      </c>
      <c r="M13" s="25">
        <v>54000</v>
      </c>
    </row>
    <row r="14" spans="1:14" ht="24.75" customHeight="1">
      <c r="A14" s="15" t="s">
        <v>323</v>
      </c>
      <c r="B14" s="11">
        <v>40000</v>
      </c>
      <c r="C14" s="69">
        <v>32000</v>
      </c>
      <c r="D14" s="16" t="s">
        <v>220</v>
      </c>
      <c r="E14" s="11">
        <v>31000</v>
      </c>
      <c r="F14" s="16" t="s">
        <v>220</v>
      </c>
      <c r="G14" s="16" t="s">
        <v>220</v>
      </c>
      <c r="H14" s="37">
        <v>49000</v>
      </c>
      <c r="I14" s="11">
        <v>47000</v>
      </c>
      <c r="J14" s="11">
        <v>41000</v>
      </c>
      <c r="K14" s="16" t="s">
        <v>191</v>
      </c>
      <c r="L14" s="11">
        <v>45000</v>
      </c>
      <c r="M14" s="11">
        <v>31000</v>
      </c>
    </row>
    <row r="15" spans="1:14" ht="12.45" customHeight="1">
      <c r="A15" s="15" t="s">
        <v>324</v>
      </c>
      <c r="B15" s="9">
        <v>72000</v>
      </c>
      <c r="C15" s="66">
        <v>72000</v>
      </c>
      <c r="D15" s="13" t="s">
        <v>220</v>
      </c>
      <c r="E15" s="9">
        <v>65000</v>
      </c>
      <c r="F15" s="13" t="s">
        <v>191</v>
      </c>
      <c r="G15" s="13" t="s">
        <v>220</v>
      </c>
      <c r="H15" s="34">
        <v>74000</v>
      </c>
      <c r="I15" s="9">
        <v>77000</v>
      </c>
      <c r="J15" s="9">
        <v>72000</v>
      </c>
      <c r="K15" s="9">
        <v>113000</v>
      </c>
      <c r="L15" s="9">
        <v>74000</v>
      </c>
      <c r="M15" s="9">
        <v>55000</v>
      </c>
    </row>
    <row r="16" spans="1:14" ht="12.45" customHeight="1">
      <c r="A16" s="15" t="s">
        <v>325</v>
      </c>
      <c r="B16" s="9">
        <v>92000</v>
      </c>
      <c r="C16" s="66">
        <v>52000</v>
      </c>
      <c r="D16" s="13" t="s">
        <v>220</v>
      </c>
      <c r="E16" s="9">
        <v>89000</v>
      </c>
      <c r="F16" s="13" t="s">
        <v>191</v>
      </c>
      <c r="G16" s="13" t="s">
        <v>220</v>
      </c>
      <c r="H16" s="34">
        <v>94000</v>
      </c>
      <c r="I16" s="13" t="s">
        <v>220</v>
      </c>
      <c r="J16" s="9">
        <v>92000</v>
      </c>
      <c r="K16" s="9">
        <v>69000</v>
      </c>
      <c r="L16" s="9">
        <v>92000</v>
      </c>
      <c r="M16" s="9">
        <v>86000</v>
      </c>
    </row>
    <row r="17" spans="1:13" ht="12.45" customHeight="1">
      <c r="A17" s="15" t="s">
        <v>326</v>
      </c>
      <c r="B17" s="9">
        <v>110000</v>
      </c>
      <c r="C17" s="66">
        <v>84000</v>
      </c>
      <c r="D17" s="13" t="s">
        <v>220</v>
      </c>
      <c r="E17" s="9">
        <v>108000</v>
      </c>
      <c r="F17" s="9">
        <v>117000</v>
      </c>
      <c r="G17" s="13" t="s">
        <v>220</v>
      </c>
      <c r="H17" s="67">
        <v>110000</v>
      </c>
      <c r="I17" s="13" t="s">
        <v>222</v>
      </c>
      <c r="J17" s="9">
        <v>110000</v>
      </c>
      <c r="K17" s="9">
        <v>83000</v>
      </c>
      <c r="L17" s="9">
        <v>110000</v>
      </c>
      <c r="M17" s="9">
        <v>108000</v>
      </c>
    </row>
    <row r="18" spans="1:13" ht="36.75" customHeight="1">
      <c r="A18" s="12" t="s">
        <v>230</v>
      </c>
      <c r="B18" s="25">
        <v>87000</v>
      </c>
      <c r="C18" s="68">
        <v>92000</v>
      </c>
      <c r="D18" s="26" t="s">
        <v>220</v>
      </c>
      <c r="E18" s="25">
        <v>104000</v>
      </c>
      <c r="F18" s="25">
        <v>72000</v>
      </c>
      <c r="G18" s="26" t="s">
        <v>220</v>
      </c>
      <c r="H18" s="36">
        <v>85000</v>
      </c>
      <c r="I18" s="25">
        <v>69000</v>
      </c>
      <c r="J18" s="25">
        <v>89000</v>
      </c>
      <c r="K18" s="25">
        <v>78000</v>
      </c>
      <c r="L18" s="25">
        <v>89000</v>
      </c>
      <c r="M18" s="25">
        <v>56000</v>
      </c>
    </row>
    <row r="19" spans="1:13" ht="24.75" customHeight="1">
      <c r="A19" s="15" t="s">
        <v>323</v>
      </c>
      <c r="B19" s="11">
        <v>64000</v>
      </c>
      <c r="C19" s="69">
        <v>41000</v>
      </c>
      <c r="D19" s="16" t="s">
        <v>220</v>
      </c>
      <c r="E19" s="11">
        <v>58000</v>
      </c>
      <c r="F19" s="16" t="s">
        <v>191</v>
      </c>
      <c r="G19" s="16" t="s">
        <v>220</v>
      </c>
      <c r="H19" s="37">
        <v>68000</v>
      </c>
      <c r="I19" s="16" t="s">
        <v>191</v>
      </c>
      <c r="J19" s="11">
        <v>66000</v>
      </c>
      <c r="K19" s="16" t="s">
        <v>191</v>
      </c>
      <c r="L19" s="11">
        <v>65000</v>
      </c>
      <c r="M19" s="11">
        <v>29000</v>
      </c>
    </row>
    <row r="20" spans="1:13" ht="12.45" customHeight="1">
      <c r="A20" s="15" t="s">
        <v>324</v>
      </c>
      <c r="B20" s="9">
        <v>84000</v>
      </c>
      <c r="C20" s="66">
        <v>90000</v>
      </c>
      <c r="D20" s="13" t="s">
        <v>220</v>
      </c>
      <c r="E20" s="9">
        <v>126000</v>
      </c>
      <c r="F20" s="9">
        <v>73000</v>
      </c>
      <c r="G20" s="13" t="s">
        <v>220</v>
      </c>
      <c r="H20" s="34">
        <v>80000</v>
      </c>
      <c r="I20" s="13" t="s">
        <v>191</v>
      </c>
      <c r="J20" s="9">
        <v>88000</v>
      </c>
      <c r="K20" s="9">
        <v>72000</v>
      </c>
      <c r="L20" s="9">
        <v>86000</v>
      </c>
      <c r="M20" s="13" t="s">
        <v>191</v>
      </c>
    </row>
    <row r="21" spans="1:13" ht="12.45" customHeight="1">
      <c r="A21" s="15" t="s">
        <v>325</v>
      </c>
      <c r="B21" s="9">
        <v>98000</v>
      </c>
      <c r="C21" s="66">
        <v>139000</v>
      </c>
      <c r="D21" s="13" t="s">
        <v>220</v>
      </c>
      <c r="E21" s="9">
        <v>85000</v>
      </c>
      <c r="F21" s="13" t="s">
        <v>191</v>
      </c>
      <c r="G21" s="13" t="s">
        <v>220</v>
      </c>
      <c r="H21" s="34">
        <v>92000</v>
      </c>
      <c r="I21" s="13" t="s">
        <v>222</v>
      </c>
      <c r="J21" s="9">
        <v>100000</v>
      </c>
      <c r="K21" s="13" t="s">
        <v>191</v>
      </c>
      <c r="L21" s="9">
        <v>100000</v>
      </c>
      <c r="M21" s="13" t="s">
        <v>191</v>
      </c>
    </row>
    <row r="22" spans="1:13" ht="12.45" customHeight="1">
      <c r="A22" s="15" t="s">
        <v>326</v>
      </c>
      <c r="B22" s="9">
        <v>100000</v>
      </c>
      <c r="C22" s="66">
        <v>86000</v>
      </c>
      <c r="D22" s="13" t="s">
        <v>220</v>
      </c>
      <c r="E22" s="9">
        <v>109000</v>
      </c>
      <c r="F22" s="9">
        <v>95000</v>
      </c>
      <c r="G22" s="13" t="s">
        <v>220</v>
      </c>
      <c r="H22" s="67">
        <v>103000</v>
      </c>
      <c r="I22" s="13" t="s">
        <v>220</v>
      </c>
      <c r="J22" s="9">
        <v>100000</v>
      </c>
      <c r="K22" s="9">
        <v>91000</v>
      </c>
      <c r="L22" s="9">
        <v>99000</v>
      </c>
      <c r="M22" s="9">
        <v>119000</v>
      </c>
    </row>
    <row r="23" spans="1:13" ht="12.45" customHeight="1">
      <c r="A23" s="12" t="s">
        <v>231</v>
      </c>
      <c r="B23" s="9">
        <v>104000</v>
      </c>
      <c r="C23" s="66">
        <v>91000</v>
      </c>
      <c r="D23" s="9">
        <v>104000</v>
      </c>
      <c r="E23" s="9">
        <v>108000</v>
      </c>
      <c r="F23" s="9">
        <v>94000</v>
      </c>
      <c r="G23" s="9">
        <v>85000</v>
      </c>
      <c r="H23" s="67">
        <v>105000</v>
      </c>
      <c r="I23" s="9">
        <v>109000</v>
      </c>
      <c r="J23" s="9">
        <v>104000</v>
      </c>
      <c r="K23" s="9">
        <v>100000</v>
      </c>
      <c r="L23" s="9">
        <v>104000</v>
      </c>
      <c r="M23" s="9">
        <v>100000</v>
      </c>
    </row>
    <row r="24" spans="1:13" ht="24.75" customHeight="1">
      <c r="A24" s="15" t="s">
        <v>323</v>
      </c>
      <c r="B24" s="11">
        <v>77000</v>
      </c>
      <c r="C24" s="69">
        <v>78000</v>
      </c>
      <c r="D24" s="16" t="s">
        <v>220</v>
      </c>
      <c r="E24" s="11">
        <v>80000</v>
      </c>
      <c r="F24" s="11">
        <v>74000</v>
      </c>
      <c r="G24" s="16" t="s">
        <v>220</v>
      </c>
      <c r="H24" s="37">
        <v>77000</v>
      </c>
      <c r="I24" s="11">
        <v>80000</v>
      </c>
      <c r="J24" s="11">
        <v>78000</v>
      </c>
      <c r="K24" s="11">
        <v>74000</v>
      </c>
      <c r="L24" s="11">
        <v>77000</v>
      </c>
      <c r="M24" s="11">
        <v>80000</v>
      </c>
    </row>
    <row r="25" spans="1:13" ht="12.45" customHeight="1">
      <c r="A25" s="15" t="s">
        <v>324</v>
      </c>
      <c r="B25" s="9">
        <v>100000</v>
      </c>
      <c r="C25" s="66">
        <v>94000</v>
      </c>
      <c r="D25" s="13" t="s">
        <v>191</v>
      </c>
      <c r="E25" s="9">
        <v>104000</v>
      </c>
      <c r="F25" s="9">
        <v>94000</v>
      </c>
      <c r="G25" s="9">
        <v>110000</v>
      </c>
      <c r="H25" s="67">
        <v>100000</v>
      </c>
      <c r="I25" s="9">
        <v>105000</v>
      </c>
      <c r="J25" s="9">
        <v>100000</v>
      </c>
      <c r="K25" s="9">
        <v>93000</v>
      </c>
      <c r="L25" s="9">
        <v>100000</v>
      </c>
      <c r="M25" s="9">
        <v>103000</v>
      </c>
    </row>
    <row r="26" spans="1:13" ht="12.45" customHeight="1">
      <c r="A26" s="15" t="s">
        <v>325</v>
      </c>
      <c r="B26" s="9">
        <v>120000</v>
      </c>
      <c r="C26" s="66">
        <v>117000</v>
      </c>
      <c r="D26" s="13" t="s">
        <v>220</v>
      </c>
      <c r="E26" s="9">
        <v>128000</v>
      </c>
      <c r="F26" s="9">
        <v>93000</v>
      </c>
      <c r="G26" s="13" t="s">
        <v>191</v>
      </c>
      <c r="H26" s="67">
        <v>119000</v>
      </c>
      <c r="I26" s="9">
        <v>135000</v>
      </c>
      <c r="J26" s="9">
        <v>120000</v>
      </c>
      <c r="K26" s="9">
        <v>122000</v>
      </c>
      <c r="L26" s="9">
        <v>120000</v>
      </c>
      <c r="M26" s="9">
        <v>120000</v>
      </c>
    </row>
    <row r="27" spans="1:13" ht="12.45" customHeight="1">
      <c r="A27" s="15" t="s">
        <v>326</v>
      </c>
      <c r="B27" s="9">
        <v>126000</v>
      </c>
      <c r="C27" s="66">
        <v>117000</v>
      </c>
      <c r="D27" s="13" t="s">
        <v>222</v>
      </c>
      <c r="E27" s="9">
        <v>130000</v>
      </c>
      <c r="F27" s="9">
        <v>105000</v>
      </c>
      <c r="G27" s="13" t="s">
        <v>220</v>
      </c>
      <c r="H27" s="67">
        <v>129000</v>
      </c>
      <c r="I27" s="9">
        <v>120000</v>
      </c>
      <c r="J27" s="9">
        <v>128000</v>
      </c>
      <c r="K27" s="9">
        <v>115000</v>
      </c>
      <c r="L27" s="9">
        <v>127000</v>
      </c>
      <c r="M27" s="9">
        <v>111000</v>
      </c>
    </row>
    <row r="28" spans="1:13" ht="24.75" customHeight="1">
      <c r="A28" s="10" t="s">
        <v>175</v>
      </c>
      <c r="B28" s="11">
        <v>100000</v>
      </c>
      <c r="C28" s="69">
        <v>90000</v>
      </c>
      <c r="D28" s="11">
        <v>97000</v>
      </c>
      <c r="E28" s="11">
        <v>120000</v>
      </c>
      <c r="F28" s="11">
        <v>74000</v>
      </c>
      <c r="G28" s="11">
        <v>82000</v>
      </c>
      <c r="H28" s="72">
        <v>100000</v>
      </c>
      <c r="I28" s="11">
        <v>100000</v>
      </c>
      <c r="J28" s="11">
        <v>100000</v>
      </c>
      <c r="K28" s="11">
        <v>95000</v>
      </c>
      <c r="L28" s="11">
        <v>100000</v>
      </c>
      <c r="M28" s="11">
        <v>104000</v>
      </c>
    </row>
    <row r="29" spans="1:13" ht="24.75" customHeight="1">
      <c r="A29" s="12" t="s">
        <v>323</v>
      </c>
      <c r="B29" s="11">
        <v>60000</v>
      </c>
      <c r="C29" s="69">
        <v>55000</v>
      </c>
      <c r="D29" s="16" t="s">
        <v>220</v>
      </c>
      <c r="E29" s="11">
        <v>59000</v>
      </c>
      <c r="F29" s="11">
        <v>58000</v>
      </c>
      <c r="G29" s="16" t="s">
        <v>220</v>
      </c>
      <c r="H29" s="37">
        <v>60000</v>
      </c>
      <c r="I29" s="11">
        <v>52000</v>
      </c>
      <c r="J29" s="11">
        <v>60000</v>
      </c>
      <c r="K29" s="11">
        <v>54000</v>
      </c>
      <c r="L29" s="11">
        <v>60000</v>
      </c>
      <c r="M29" s="11">
        <v>71000</v>
      </c>
    </row>
    <row r="30" spans="1:13" ht="12.45" customHeight="1">
      <c r="A30" s="12" t="s">
        <v>324</v>
      </c>
      <c r="B30" s="9">
        <v>88000</v>
      </c>
      <c r="C30" s="66">
        <v>74000</v>
      </c>
      <c r="D30" s="9">
        <v>135000</v>
      </c>
      <c r="E30" s="9">
        <v>100000</v>
      </c>
      <c r="F30" s="9">
        <v>59000</v>
      </c>
      <c r="G30" s="13" t="s">
        <v>191</v>
      </c>
      <c r="H30" s="34">
        <v>88000</v>
      </c>
      <c r="I30" s="9">
        <v>109000</v>
      </c>
      <c r="J30" s="9">
        <v>87000</v>
      </c>
      <c r="K30" s="9">
        <v>93000</v>
      </c>
      <c r="L30" s="9">
        <v>87000</v>
      </c>
      <c r="M30" s="9">
        <v>94000</v>
      </c>
    </row>
    <row r="31" spans="1:13" ht="12.45" customHeight="1">
      <c r="A31" s="12" t="s">
        <v>325</v>
      </c>
      <c r="B31" s="9">
        <v>116000</v>
      </c>
      <c r="C31" s="66">
        <v>106000</v>
      </c>
      <c r="D31" s="13" t="s">
        <v>222</v>
      </c>
      <c r="E31" s="9">
        <v>149000</v>
      </c>
      <c r="F31" s="9">
        <v>78000</v>
      </c>
      <c r="G31" s="9">
        <v>78000</v>
      </c>
      <c r="H31" s="67">
        <v>110000</v>
      </c>
      <c r="I31" s="9">
        <v>144000</v>
      </c>
      <c r="J31" s="9">
        <v>118000</v>
      </c>
      <c r="K31" s="9">
        <v>84000</v>
      </c>
      <c r="L31" s="9">
        <v>114000</v>
      </c>
      <c r="M31" s="9">
        <v>139000</v>
      </c>
    </row>
    <row r="32" spans="1:13" ht="12.45" customHeight="1">
      <c r="A32" s="12" t="s">
        <v>326</v>
      </c>
      <c r="B32" s="9">
        <v>120000</v>
      </c>
      <c r="C32" s="66">
        <v>100000</v>
      </c>
      <c r="D32" s="9">
        <v>49000</v>
      </c>
      <c r="E32" s="9">
        <v>139000</v>
      </c>
      <c r="F32" s="9">
        <v>98000</v>
      </c>
      <c r="G32" s="13" t="s">
        <v>191</v>
      </c>
      <c r="H32" s="67">
        <v>120000</v>
      </c>
      <c r="I32" s="9">
        <v>98000</v>
      </c>
      <c r="J32" s="9">
        <v>120000</v>
      </c>
      <c r="K32" s="9">
        <v>100000</v>
      </c>
      <c r="L32" s="9">
        <v>120000</v>
      </c>
      <c r="M32" s="9">
        <v>110000</v>
      </c>
    </row>
    <row r="33" spans="1:14" ht="24.75" customHeight="1">
      <c r="A33" s="10" t="s">
        <v>176</v>
      </c>
      <c r="B33" s="11">
        <v>80000</v>
      </c>
      <c r="C33" s="69">
        <v>70000</v>
      </c>
      <c r="D33" s="11">
        <v>59000</v>
      </c>
      <c r="E33" s="11">
        <v>84000</v>
      </c>
      <c r="F33" s="11">
        <v>62000</v>
      </c>
      <c r="G33" s="11">
        <v>64000</v>
      </c>
      <c r="H33" s="37">
        <v>85000</v>
      </c>
      <c r="I33" s="11">
        <v>82000</v>
      </c>
      <c r="J33" s="11">
        <v>81000</v>
      </c>
      <c r="K33" s="11">
        <v>75000</v>
      </c>
      <c r="L33" s="11">
        <v>80000</v>
      </c>
      <c r="M33" s="11">
        <v>79000</v>
      </c>
    </row>
    <row r="34" spans="1:14" ht="24.75" customHeight="1">
      <c r="A34" s="12" t="s">
        <v>323</v>
      </c>
      <c r="B34" s="11">
        <v>52000</v>
      </c>
      <c r="C34" s="69">
        <v>47000</v>
      </c>
      <c r="D34" s="16" t="s">
        <v>191</v>
      </c>
      <c r="E34" s="11">
        <v>66000</v>
      </c>
      <c r="F34" s="11">
        <v>40000</v>
      </c>
      <c r="G34" s="16" t="s">
        <v>191</v>
      </c>
      <c r="H34" s="37">
        <v>53000</v>
      </c>
      <c r="I34" s="11">
        <v>59000</v>
      </c>
      <c r="J34" s="11">
        <v>52000</v>
      </c>
      <c r="K34" s="11">
        <v>48000</v>
      </c>
      <c r="L34" s="11">
        <v>52000</v>
      </c>
      <c r="M34" s="11">
        <v>58000</v>
      </c>
    </row>
    <row r="35" spans="1:14" ht="12.45" customHeight="1">
      <c r="A35" s="12" t="s">
        <v>324</v>
      </c>
      <c r="B35" s="9">
        <v>75000</v>
      </c>
      <c r="C35" s="66">
        <v>68000</v>
      </c>
      <c r="D35" s="13" t="s">
        <v>191</v>
      </c>
      <c r="E35" s="9">
        <v>80000</v>
      </c>
      <c r="F35" s="9">
        <v>58000</v>
      </c>
      <c r="G35" s="13" t="s">
        <v>191</v>
      </c>
      <c r="H35" s="34">
        <v>80000</v>
      </c>
      <c r="I35" s="9">
        <v>94000</v>
      </c>
      <c r="J35" s="9">
        <v>76000</v>
      </c>
      <c r="K35" s="9">
        <v>66000</v>
      </c>
      <c r="L35" s="9">
        <v>75000</v>
      </c>
      <c r="M35" s="9">
        <v>90000</v>
      </c>
    </row>
    <row r="36" spans="1:14" ht="12.45" customHeight="1">
      <c r="A36" s="12" t="s">
        <v>325</v>
      </c>
      <c r="B36" s="9">
        <v>94000</v>
      </c>
      <c r="C36" s="66">
        <v>78000</v>
      </c>
      <c r="D36" s="13" t="s">
        <v>191</v>
      </c>
      <c r="E36" s="9">
        <v>100000</v>
      </c>
      <c r="F36" s="9">
        <v>75000</v>
      </c>
      <c r="G36" s="9">
        <v>61000</v>
      </c>
      <c r="H36" s="34">
        <v>98000</v>
      </c>
      <c r="I36" s="9">
        <v>90000</v>
      </c>
      <c r="J36" s="9">
        <v>94000</v>
      </c>
      <c r="K36" s="9">
        <v>80000</v>
      </c>
      <c r="L36" s="9">
        <v>94000</v>
      </c>
      <c r="M36" s="9">
        <v>98000</v>
      </c>
    </row>
    <row r="37" spans="1:14" ht="12.45" customHeight="1">
      <c r="A37" s="49" t="s">
        <v>326</v>
      </c>
      <c r="B37" s="21">
        <v>94000</v>
      </c>
      <c r="C37" s="75">
        <v>80000</v>
      </c>
      <c r="D37" s="21">
        <v>61000</v>
      </c>
      <c r="E37" s="21">
        <v>84000</v>
      </c>
      <c r="F37" s="21">
        <v>73000</v>
      </c>
      <c r="G37" s="40" t="s">
        <v>191</v>
      </c>
      <c r="H37" s="76">
        <v>99000</v>
      </c>
      <c r="I37" s="21">
        <v>120000</v>
      </c>
      <c r="J37" s="21">
        <v>97000</v>
      </c>
      <c r="K37" s="21">
        <v>80000</v>
      </c>
      <c r="L37" s="21">
        <v>95000</v>
      </c>
      <c r="M37" s="21">
        <v>59000</v>
      </c>
    </row>
    <row r="38" spans="1:14" ht="21.45" customHeight="1">
      <c r="A38" s="344" t="s">
        <v>224</v>
      </c>
      <c r="B38" s="344"/>
      <c r="C38" s="344"/>
      <c r="D38" s="344"/>
      <c r="E38" s="344"/>
      <c r="F38" s="344"/>
      <c r="G38" s="344"/>
      <c r="H38" s="344"/>
      <c r="I38" s="344"/>
      <c r="J38" s="344"/>
      <c r="K38" s="344"/>
      <c r="L38" s="344"/>
      <c r="M38" s="344"/>
      <c r="N38" s="344"/>
    </row>
    <row r="39" spans="1:14" ht="112.95" customHeight="1">
      <c r="A39" s="321" t="s">
        <v>436</v>
      </c>
      <c r="B39" s="321"/>
      <c r="C39" s="321"/>
      <c r="D39" s="321"/>
      <c r="E39" s="321"/>
      <c r="F39" s="321"/>
      <c r="G39" s="321"/>
      <c r="H39" s="321"/>
      <c r="I39" s="321"/>
      <c r="J39" s="321"/>
      <c r="K39" s="321"/>
      <c r="L39" s="321"/>
      <c r="M39" s="321"/>
      <c r="N39" s="321"/>
    </row>
  </sheetData>
  <mergeCells count="11">
    <mergeCell ref="A38:N38"/>
    <mergeCell ref="A39:N39"/>
    <mergeCell ref="A1:N1"/>
    <mergeCell ref="A3:A4"/>
    <mergeCell ref="B3:B4"/>
    <mergeCell ref="C3:C4"/>
    <mergeCell ref="D3:I3"/>
    <mergeCell ref="J3:J4"/>
    <mergeCell ref="K3:K4"/>
    <mergeCell ref="L3:L4"/>
    <mergeCell ref="M3:M4"/>
  </mergeCells>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0" tint="-0.249977111117893"/>
  </sheetPr>
  <dimension ref="A1:P39"/>
  <sheetViews>
    <sheetView workbookViewId="0">
      <selection sqref="A1:Z1"/>
    </sheetView>
  </sheetViews>
  <sheetFormatPr defaultRowHeight="13.2"/>
  <cols>
    <col min="1" max="1" width="74" customWidth="1"/>
    <col min="2" max="2" width="14.44140625" customWidth="1"/>
    <col min="3" max="3" width="12.44140625" customWidth="1"/>
    <col min="4" max="4" width="16" customWidth="1"/>
    <col min="5" max="5" width="14" customWidth="1"/>
    <col min="6" max="6" width="12.109375" customWidth="1"/>
    <col min="7" max="7" width="12.44140625" customWidth="1"/>
    <col min="8" max="8" width="22.6640625" customWidth="1"/>
    <col min="9" max="9" width="20.6640625" customWidth="1"/>
    <col min="10" max="10" width="19.44140625" customWidth="1"/>
    <col min="11" max="11" width="17.33203125" customWidth="1"/>
    <col min="12" max="12" width="12.109375" customWidth="1"/>
    <col min="13" max="13" width="10.77734375" customWidth="1"/>
    <col min="14" max="14" width="12.44140625" customWidth="1"/>
    <col min="15" max="15" width="12.109375" customWidth="1"/>
    <col min="16" max="16" width="2.44140625" customWidth="1"/>
  </cols>
  <sheetData>
    <row r="1" spans="1:16" ht="39" customHeight="1">
      <c r="A1" s="321" t="s">
        <v>437</v>
      </c>
      <c r="B1" s="321"/>
      <c r="C1" s="321"/>
      <c r="D1" s="321"/>
      <c r="E1" s="321"/>
      <c r="F1" s="321"/>
      <c r="G1" s="321"/>
      <c r="H1" s="321"/>
      <c r="I1" s="321"/>
      <c r="J1" s="321"/>
      <c r="K1" s="321"/>
      <c r="L1" s="321"/>
      <c r="M1" s="321"/>
      <c r="N1" s="321"/>
      <c r="O1" s="321"/>
      <c r="P1" s="321"/>
    </row>
    <row r="2" spans="1:16" ht="1.95" customHeight="1"/>
    <row r="3" spans="1:16" ht="13.95" customHeight="1">
      <c r="A3" s="326" t="s">
        <v>438</v>
      </c>
      <c r="B3" s="328" t="s">
        <v>439</v>
      </c>
      <c r="C3" s="328" t="s">
        <v>440</v>
      </c>
      <c r="D3" s="330" t="s">
        <v>390</v>
      </c>
      <c r="E3" s="331"/>
      <c r="F3" s="331"/>
      <c r="G3" s="331"/>
      <c r="H3" s="331"/>
      <c r="I3" s="331"/>
      <c r="J3" s="331"/>
      <c r="K3" s="331"/>
      <c r="L3" s="331"/>
      <c r="M3" s="331"/>
      <c r="N3" s="331"/>
      <c r="O3" s="332"/>
    </row>
    <row r="4" spans="1:16" ht="15.45" customHeight="1">
      <c r="A4" s="327"/>
      <c r="B4" s="387"/>
      <c r="C4" s="387"/>
      <c r="D4" s="388" t="s">
        <v>391</v>
      </c>
      <c r="E4" s="389"/>
      <c r="F4" s="390" t="s">
        <v>392</v>
      </c>
      <c r="G4" s="391"/>
      <c r="H4" s="392" t="s">
        <v>393</v>
      </c>
      <c r="I4" s="393"/>
      <c r="J4" s="394" t="s">
        <v>394</v>
      </c>
      <c r="K4" s="395"/>
      <c r="L4" s="396" t="s">
        <v>395</v>
      </c>
      <c r="M4" s="397"/>
      <c r="N4" s="398" t="s">
        <v>396</v>
      </c>
      <c r="O4" s="399"/>
    </row>
    <row r="5" spans="1:16" ht="13.95" customHeight="1">
      <c r="A5" s="370"/>
      <c r="B5" s="329"/>
      <c r="C5" s="329"/>
      <c r="D5" s="41" t="s">
        <v>439</v>
      </c>
      <c r="E5" s="41" t="s">
        <v>440</v>
      </c>
      <c r="F5" s="5" t="s">
        <v>439</v>
      </c>
      <c r="G5" s="41" t="s">
        <v>440</v>
      </c>
      <c r="H5" s="23" t="s">
        <v>439</v>
      </c>
      <c r="I5" s="23" t="s">
        <v>440</v>
      </c>
      <c r="J5" s="48" t="s">
        <v>439</v>
      </c>
      <c r="K5" s="23" t="s">
        <v>440</v>
      </c>
      <c r="L5" s="5" t="s">
        <v>439</v>
      </c>
      <c r="M5" s="5" t="s">
        <v>440</v>
      </c>
      <c r="N5" s="5" t="s">
        <v>439</v>
      </c>
      <c r="O5" s="41" t="s">
        <v>440</v>
      </c>
    </row>
    <row r="6" spans="1:16" ht="12.45" customHeight="1">
      <c r="A6" s="6" t="s">
        <v>441</v>
      </c>
      <c r="B6" s="7">
        <v>7230000</v>
      </c>
      <c r="C6" s="7">
        <v>99000</v>
      </c>
      <c r="D6" s="7">
        <v>2141000</v>
      </c>
      <c r="E6" s="7">
        <v>108000</v>
      </c>
      <c r="F6" s="7">
        <v>741000</v>
      </c>
      <c r="G6" s="7">
        <v>100000</v>
      </c>
      <c r="H6" s="7">
        <v>1527000</v>
      </c>
      <c r="I6" s="7">
        <v>101000</v>
      </c>
      <c r="J6" s="7">
        <v>1663000</v>
      </c>
      <c r="K6" s="7">
        <v>90000</v>
      </c>
      <c r="L6" s="7">
        <v>291000</v>
      </c>
      <c r="M6" s="7">
        <v>74000</v>
      </c>
      <c r="N6" s="7">
        <v>867000</v>
      </c>
      <c r="O6" s="7">
        <v>88000</v>
      </c>
    </row>
    <row r="7" spans="1:16" ht="12.45" customHeight="1">
      <c r="A7" s="8" t="s">
        <v>252</v>
      </c>
      <c r="B7" s="9">
        <v>5431000</v>
      </c>
      <c r="C7" s="9">
        <v>105000</v>
      </c>
      <c r="D7" s="9">
        <v>1923000</v>
      </c>
      <c r="E7" s="9">
        <v>110000</v>
      </c>
      <c r="F7" s="9">
        <v>669000</v>
      </c>
      <c r="G7" s="9">
        <v>101000</v>
      </c>
      <c r="H7" s="9">
        <v>1177000</v>
      </c>
      <c r="I7" s="9">
        <v>105000</v>
      </c>
      <c r="J7" s="9">
        <v>1000000</v>
      </c>
      <c r="K7" s="9">
        <v>105000</v>
      </c>
      <c r="L7" s="9">
        <v>26000</v>
      </c>
      <c r="M7" s="9">
        <v>78000</v>
      </c>
      <c r="N7" s="9">
        <v>636000</v>
      </c>
      <c r="O7" s="9">
        <v>90000</v>
      </c>
    </row>
    <row r="8" spans="1:16" ht="12.45" customHeight="1">
      <c r="A8" s="8" t="s">
        <v>442</v>
      </c>
      <c r="B8" s="9">
        <v>825000</v>
      </c>
      <c r="C8" s="9">
        <v>66000</v>
      </c>
      <c r="D8" s="9">
        <v>80000</v>
      </c>
      <c r="E8" s="9">
        <v>75000</v>
      </c>
      <c r="F8" s="9">
        <v>20000</v>
      </c>
      <c r="G8" s="9">
        <v>70000</v>
      </c>
      <c r="H8" s="9">
        <v>66000</v>
      </c>
      <c r="I8" s="9">
        <v>87000</v>
      </c>
      <c r="J8" s="9">
        <v>413000</v>
      </c>
      <c r="K8" s="9">
        <v>54000</v>
      </c>
      <c r="L8" s="9">
        <v>206000</v>
      </c>
      <c r="M8" s="9">
        <v>75000</v>
      </c>
      <c r="N8" s="9">
        <v>40000</v>
      </c>
      <c r="O8" s="9">
        <v>76000</v>
      </c>
    </row>
    <row r="9" spans="1:16" ht="12.45" customHeight="1">
      <c r="A9" s="8" t="s">
        <v>259</v>
      </c>
      <c r="B9" s="9">
        <v>165000</v>
      </c>
      <c r="C9" s="9">
        <v>67000</v>
      </c>
      <c r="D9" s="9">
        <v>23000</v>
      </c>
      <c r="E9" s="9">
        <v>67000</v>
      </c>
      <c r="F9" s="13" t="s">
        <v>220</v>
      </c>
      <c r="G9" s="13" t="s">
        <v>220</v>
      </c>
      <c r="H9" s="9">
        <v>18000</v>
      </c>
      <c r="I9" s="9">
        <v>65000</v>
      </c>
      <c r="J9" s="9">
        <v>24000</v>
      </c>
      <c r="K9" s="9">
        <v>55000</v>
      </c>
      <c r="L9" s="9">
        <v>48000</v>
      </c>
      <c r="M9" s="9">
        <v>69000</v>
      </c>
      <c r="N9" s="9">
        <v>52000</v>
      </c>
      <c r="O9" s="9">
        <v>71000</v>
      </c>
    </row>
    <row r="10" spans="1:16" ht="12.45" customHeight="1">
      <c r="A10" s="8" t="s">
        <v>254</v>
      </c>
      <c r="B10" s="9">
        <v>808000</v>
      </c>
      <c r="C10" s="9">
        <v>90000</v>
      </c>
      <c r="D10" s="9">
        <v>115000</v>
      </c>
      <c r="E10" s="9">
        <v>89000</v>
      </c>
      <c r="F10" s="9">
        <v>51000</v>
      </c>
      <c r="G10" s="9">
        <v>100000</v>
      </c>
      <c r="H10" s="9">
        <v>267000</v>
      </c>
      <c r="I10" s="9">
        <v>98000</v>
      </c>
      <c r="J10" s="9">
        <v>226000</v>
      </c>
      <c r="K10" s="9">
        <v>86000</v>
      </c>
      <c r="L10" s="9">
        <v>11000</v>
      </c>
      <c r="M10" s="9">
        <v>85000</v>
      </c>
      <c r="N10" s="9">
        <v>139000</v>
      </c>
      <c r="O10" s="9">
        <v>89000</v>
      </c>
    </row>
    <row r="11" spans="1:16" ht="12.45" customHeight="1">
      <c r="A11" s="8" t="s">
        <v>178</v>
      </c>
      <c r="B11" s="9">
        <v>5564000</v>
      </c>
      <c r="C11" s="9">
        <v>100000</v>
      </c>
      <c r="D11" s="9">
        <v>1712000</v>
      </c>
      <c r="E11" s="9">
        <v>110000</v>
      </c>
      <c r="F11" s="9">
        <v>594000</v>
      </c>
      <c r="G11" s="9">
        <v>100000</v>
      </c>
      <c r="H11" s="9">
        <v>1055000</v>
      </c>
      <c r="I11" s="9">
        <v>104000</v>
      </c>
      <c r="J11" s="9">
        <v>1353000</v>
      </c>
      <c r="K11" s="9">
        <v>90000</v>
      </c>
      <c r="L11" s="9">
        <v>224000</v>
      </c>
      <c r="M11" s="9">
        <v>75000</v>
      </c>
      <c r="N11" s="9">
        <v>627000</v>
      </c>
      <c r="O11" s="9">
        <v>89000</v>
      </c>
    </row>
    <row r="12" spans="1:16" ht="12.45" customHeight="1">
      <c r="A12" s="10" t="s">
        <v>252</v>
      </c>
      <c r="B12" s="9">
        <v>4177000</v>
      </c>
      <c r="C12" s="9">
        <v>106000</v>
      </c>
      <c r="D12" s="9">
        <v>1554000</v>
      </c>
      <c r="E12" s="9">
        <v>111000</v>
      </c>
      <c r="F12" s="9">
        <v>538000</v>
      </c>
      <c r="G12" s="9">
        <v>101000</v>
      </c>
      <c r="H12" s="9">
        <v>815000</v>
      </c>
      <c r="I12" s="9">
        <v>107000</v>
      </c>
      <c r="J12" s="9">
        <v>803000</v>
      </c>
      <c r="K12" s="9">
        <v>107000</v>
      </c>
      <c r="L12" s="9">
        <v>11000</v>
      </c>
      <c r="M12" s="9">
        <v>84000</v>
      </c>
      <c r="N12" s="9">
        <v>455000</v>
      </c>
      <c r="O12" s="9">
        <v>93000</v>
      </c>
    </row>
    <row r="13" spans="1:16" ht="12.45" customHeight="1">
      <c r="A13" s="10" t="s">
        <v>442</v>
      </c>
      <c r="B13" s="9">
        <v>685000</v>
      </c>
      <c r="C13" s="9">
        <v>65000</v>
      </c>
      <c r="D13" s="9">
        <v>62000</v>
      </c>
      <c r="E13" s="9">
        <v>78000</v>
      </c>
      <c r="F13" s="9">
        <v>12000</v>
      </c>
      <c r="G13" s="9">
        <v>69000</v>
      </c>
      <c r="H13" s="9">
        <v>47000</v>
      </c>
      <c r="I13" s="9">
        <v>90000</v>
      </c>
      <c r="J13" s="9">
        <v>366000</v>
      </c>
      <c r="K13" s="9">
        <v>52000</v>
      </c>
      <c r="L13" s="9">
        <v>174000</v>
      </c>
      <c r="M13" s="9">
        <v>76000</v>
      </c>
      <c r="N13" s="9">
        <v>24000</v>
      </c>
      <c r="O13" s="9">
        <v>76000</v>
      </c>
    </row>
    <row r="14" spans="1:16" ht="12.45" customHeight="1">
      <c r="A14" s="10" t="s">
        <v>259</v>
      </c>
      <c r="B14" s="9">
        <v>108000</v>
      </c>
      <c r="C14" s="9">
        <v>70000</v>
      </c>
      <c r="D14" s="9">
        <v>14000</v>
      </c>
      <c r="E14" s="9">
        <v>53000</v>
      </c>
      <c r="F14" s="13" t="s">
        <v>220</v>
      </c>
      <c r="G14" s="13" t="s">
        <v>220</v>
      </c>
      <c r="H14" s="9">
        <v>7000</v>
      </c>
      <c r="I14" s="9">
        <v>73000</v>
      </c>
      <c r="J14" s="9">
        <v>10000</v>
      </c>
      <c r="K14" s="9">
        <v>62000</v>
      </c>
      <c r="L14" s="9">
        <v>34000</v>
      </c>
      <c r="M14" s="9">
        <v>70000</v>
      </c>
      <c r="N14" s="9">
        <v>42000</v>
      </c>
      <c r="O14" s="9">
        <v>74000</v>
      </c>
    </row>
    <row r="15" spans="1:16" ht="12.45" customHeight="1">
      <c r="A15" s="10" t="s">
        <v>254</v>
      </c>
      <c r="B15" s="9">
        <v>595000</v>
      </c>
      <c r="C15" s="9">
        <v>92000</v>
      </c>
      <c r="D15" s="9">
        <v>83000</v>
      </c>
      <c r="E15" s="9">
        <v>96000</v>
      </c>
      <c r="F15" s="9">
        <v>43000</v>
      </c>
      <c r="G15" s="9">
        <v>93000</v>
      </c>
      <c r="H15" s="9">
        <v>186000</v>
      </c>
      <c r="I15" s="9">
        <v>99000</v>
      </c>
      <c r="J15" s="9">
        <v>173000</v>
      </c>
      <c r="K15" s="9">
        <v>84000</v>
      </c>
      <c r="L15" s="13" t="s">
        <v>191</v>
      </c>
      <c r="M15" s="13" t="s">
        <v>191</v>
      </c>
      <c r="N15" s="9">
        <v>105000</v>
      </c>
      <c r="O15" s="9">
        <v>88000</v>
      </c>
    </row>
    <row r="16" spans="1:16" ht="12.45" customHeight="1">
      <c r="A16" s="10" t="s">
        <v>179</v>
      </c>
      <c r="B16" s="9">
        <v>695000</v>
      </c>
      <c r="C16" s="9">
        <v>72000</v>
      </c>
      <c r="D16" s="9">
        <v>51000</v>
      </c>
      <c r="E16" s="9">
        <v>78000</v>
      </c>
      <c r="F16" s="9">
        <v>12000</v>
      </c>
      <c r="G16" s="9">
        <v>76000</v>
      </c>
      <c r="H16" s="9">
        <v>131000</v>
      </c>
      <c r="I16" s="9">
        <v>78000</v>
      </c>
      <c r="J16" s="9">
        <v>360000</v>
      </c>
      <c r="K16" s="9">
        <v>67000</v>
      </c>
      <c r="L16" s="9">
        <v>46000</v>
      </c>
      <c r="M16" s="9">
        <v>69000</v>
      </c>
      <c r="N16" s="9">
        <v>95000</v>
      </c>
      <c r="O16" s="9">
        <v>71000</v>
      </c>
    </row>
    <row r="17" spans="1:15" ht="12.45" customHeight="1">
      <c r="A17" s="12" t="s">
        <v>252</v>
      </c>
      <c r="B17" s="9">
        <v>347000</v>
      </c>
      <c r="C17" s="9">
        <v>84000</v>
      </c>
      <c r="D17" s="9">
        <v>41000</v>
      </c>
      <c r="E17" s="9">
        <v>78000</v>
      </c>
      <c r="F17" s="9">
        <v>9000</v>
      </c>
      <c r="G17" s="9">
        <v>89000</v>
      </c>
      <c r="H17" s="9">
        <v>86000</v>
      </c>
      <c r="I17" s="9">
        <v>78000</v>
      </c>
      <c r="J17" s="9">
        <v>146000</v>
      </c>
      <c r="K17" s="9">
        <v>90000</v>
      </c>
      <c r="L17" s="13" t="s">
        <v>191</v>
      </c>
      <c r="M17" s="13" t="s">
        <v>191</v>
      </c>
      <c r="N17" s="9">
        <v>63000</v>
      </c>
      <c r="O17" s="9">
        <v>72000</v>
      </c>
    </row>
    <row r="18" spans="1:15" ht="12.45" customHeight="1">
      <c r="A18" s="12" t="s">
        <v>442</v>
      </c>
      <c r="B18" s="9">
        <v>210000</v>
      </c>
      <c r="C18" s="9">
        <v>57000</v>
      </c>
      <c r="D18" s="9">
        <v>4000</v>
      </c>
      <c r="E18" s="13" t="s">
        <v>191</v>
      </c>
      <c r="F18" s="13" t="s">
        <v>220</v>
      </c>
      <c r="G18" s="13" t="s">
        <v>220</v>
      </c>
      <c r="H18" s="9">
        <v>13000</v>
      </c>
      <c r="I18" s="9">
        <v>79000</v>
      </c>
      <c r="J18" s="9">
        <v>154000</v>
      </c>
      <c r="K18" s="9">
        <v>52000</v>
      </c>
      <c r="L18" s="9">
        <v>33000</v>
      </c>
      <c r="M18" s="9">
        <v>69000</v>
      </c>
      <c r="N18" s="9">
        <v>5000</v>
      </c>
      <c r="O18" s="9">
        <v>71000</v>
      </c>
    </row>
    <row r="19" spans="1:15" ht="12.45" customHeight="1">
      <c r="A19" s="12" t="s">
        <v>259</v>
      </c>
      <c r="B19" s="9">
        <v>13000</v>
      </c>
      <c r="C19" s="9">
        <v>69000</v>
      </c>
      <c r="D19" s="13" t="s">
        <v>220</v>
      </c>
      <c r="E19" s="13" t="s">
        <v>220</v>
      </c>
      <c r="F19" s="13" t="s">
        <v>220</v>
      </c>
      <c r="G19" s="13" t="s">
        <v>220</v>
      </c>
      <c r="H19" s="13" t="s">
        <v>220</v>
      </c>
      <c r="I19" s="13" t="s">
        <v>220</v>
      </c>
      <c r="J19" s="13" t="s">
        <v>220</v>
      </c>
      <c r="K19" s="13" t="s">
        <v>220</v>
      </c>
      <c r="L19" s="9">
        <v>11000</v>
      </c>
      <c r="M19" s="9">
        <v>69000</v>
      </c>
      <c r="N19" s="13" t="s">
        <v>220</v>
      </c>
      <c r="O19" s="13" t="s">
        <v>220</v>
      </c>
    </row>
    <row r="20" spans="1:15" ht="12.45" customHeight="1">
      <c r="A20" s="12" t="s">
        <v>254</v>
      </c>
      <c r="B20" s="9">
        <v>124000</v>
      </c>
      <c r="C20" s="9">
        <v>70000</v>
      </c>
      <c r="D20" s="9">
        <v>5000</v>
      </c>
      <c r="E20" s="9">
        <v>73000</v>
      </c>
      <c r="F20" s="9">
        <v>2000</v>
      </c>
      <c r="G20" s="9">
        <v>57000</v>
      </c>
      <c r="H20" s="9">
        <v>32000</v>
      </c>
      <c r="I20" s="9">
        <v>77000</v>
      </c>
      <c r="J20" s="9">
        <v>58000</v>
      </c>
      <c r="K20" s="9">
        <v>63000</v>
      </c>
      <c r="L20" s="13" t="s">
        <v>222</v>
      </c>
      <c r="M20" s="13" t="s">
        <v>222</v>
      </c>
      <c r="N20" s="9">
        <v>27000</v>
      </c>
      <c r="O20" s="9">
        <v>69000</v>
      </c>
    </row>
    <row r="21" spans="1:15" ht="12.45" customHeight="1">
      <c r="A21" s="10" t="s">
        <v>183</v>
      </c>
      <c r="B21" s="9">
        <v>1709000</v>
      </c>
      <c r="C21" s="9">
        <v>107000</v>
      </c>
      <c r="D21" s="9">
        <v>1007000</v>
      </c>
      <c r="E21" s="9">
        <v>110000</v>
      </c>
      <c r="F21" s="9">
        <v>98000</v>
      </c>
      <c r="G21" s="9">
        <v>129000</v>
      </c>
      <c r="H21" s="9">
        <v>223000</v>
      </c>
      <c r="I21" s="9">
        <v>113000</v>
      </c>
      <c r="J21" s="9">
        <v>215000</v>
      </c>
      <c r="K21" s="9">
        <v>105000</v>
      </c>
      <c r="L21" s="9">
        <v>50000</v>
      </c>
      <c r="M21" s="9">
        <v>70000</v>
      </c>
      <c r="N21" s="9">
        <v>116000</v>
      </c>
      <c r="O21" s="9">
        <v>95000</v>
      </c>
    </row>
    <row r="22" spans="1:15" ht="12.45" customHeight="1">
      <c r="A22" s="12" t="s">
        <v>252</v>
      </c>
      <c r="B22" s="9">
        <v>1450000</v>
      </c>
      <c r="C22" s="9">
        <v>110000</v>
      </c>
      <c r="D22" s="9">
        <v>914000</v>
      </c>
      <c r="E22" s="9">
        <v>111000</v>
      </c>
      <c r="F22" s="9">
        <v>89000</v>
      </c>
      <c r="G22" s="9">
        <v>129000</v>
      </c>
      <c r="H22" s="9">
        <v>183000</v>
      </c>
      <c r="I22" s="9">
        <v>119000</v>
      </c>
      <c r="J22" s="9">
        <v>169000</v>
      </c>
      <c r="K22" s="9">
        <v>115000</v>
      </c>
      <c r="L22" s="13" t="s">
        <v>191</v>
      </c>
      <c r="M22" s="13" t="s">
        <v>191</v>
      </c>
      <c r="N22" s="9">
        <v>92000</v>
      </c>
      <c r="O22" s="9">
        <v>96000</v>
      </c>
    </row>
    <row r="23" spans="1:15" ht="12.45" customHeight="1">
      <c r="A23" s="12" t="s">
        <v>442</v>
      </c>
      <c r="B23" s="9">
        <v>105000</v>
      </c>
      <c r="C23" s="9">
        <v>80000</v>
      </c>
      <c r="D23" s="9">
        <v>29000</v>
      </c>
      <c r="E23" s="9">
        <v>89000</v>
      </c>
      <c r="F23" s="13" t="s">
        <v>191</v>
      </c>
      <c r="G23" s="13" t="s">
        <v>191</v>
      </c>
      <c r="H23" s="9">
        <v>12000</v>
      </c>
      <c r="I23" s="9">
        <v>86000</v>
      </c>
      <c r="J23" s="9">
        <v>25000</v>
      </c>
      <c r="K23" s="9">
        <v>70000</v>
      </c>
      <c r="L23" s="9">
        <v>32000</v>
      </c>
      <c r="M23" s="9">
        <v>68000</v>
      </c>
      <c r="N23" s="9">
        <v>4000</v>
      </c>
      <c r="O23" s="9">
        <v>119000</v>
      </c>
    </row>
    <row r="24" spans="1:15" ht="12.45" customHeight="1">
      <c r="A24" s="12" t="s">
        <v>259</v>
      </c>
      <c r="B24" s="9">
        <v>37000</v>
      </c>
      <c r="C24" s="9">
        <v>68000</v>
      </c>
      <c r="D24" s="9">
        <v>11000</v>
      </c>
      <c r="E24" s="9">
        <v>52000</v>
      </c>
      <c r="F24" s="13" t="s">
        <v>220</v>
      </c>
      <c r="G24" s="13" t="s">
        <v>220</v>
      </c>
      <c r="H24" s="13" t="s">
        <v>191</v>
      </c>
      <c r="I24" s="13" t="s">
        <v>191</v>
      </c>
      <c r="J24" s="13" t="s">
        <v>191</v>
      </c>
      <c r="K24" s="13" t="s">
        <v>191</v>
      </c>
      <c r="L24" s="9">
        <v>11000</v>
      </c>
      <c r="M24" s="9">
        <v>69000</v>
      </c>
      <c r="N24" s="9">
        <v>8000</v>
      </c>
      <c r="O24" s="9">
        <v>71000</v>
      </c>
    </row>
    <row r="25" spans="1:15" ht="12.45" customHeight="1">
      <c r="A25" s="12" t="s">
        <v>254</v>
      </c>
      <c r="B25" s="9">
        <v>116000</v>
      </c>
      <c r="C25" s="9">
        <v>96000</v>
      </c>
      <c r="D25" s="9">
        <v>53000</v>
      </c>
      <c r="E25" s="9">
        <v>99000</v>
      </c>
      <c r="F25" s="13" t="s">
        <v>191</v>
      </c>
      <c r="G25" s="13" t="s">
        <v>191</v>
      </c>
      <c r="H25" s="9">
        <v>24000</v>
      </c>
      <c r="I25" s="9">
        <v>96000</v>
      </c>
      <c r="J25" s="9">
        <v>17000</v>
      </c>
      <c r="K25" s="9">
        <v>80000</v>
      </c>
      <c r="L25" s="13" t="s">
        <v>220</v>
      </c>
      <c r="M25" s="13" t="s">
        <v>220</v>
      </c>
      <c r="N25" s="9">
        <v>13000</v>
      </c>
      <c r="O25" s="9">
        <v>94000</v>
      </c>
    </row>
    <row r="26" spans="1:15" ht="12.45" customHeight="1">
      <c r="A26" s="10" t="s">
        <v>186</v>
      </c>
      <c r="B26" s="9">
        <v>412000</v>
      </c>
      <c r="C26" s="9">
        <v>92000</v>
      </c>
      <c r="D26" s="9">
        <v>40000</v>
      </c>
      <c r="E26" s="9">
        <v>110000</v>
      </c>
      <c r="F26" s="9">
        <v>19000</v>
      </c>
      <c r="G26" s="9">
        <v>105000</v>
      </c>
      <c r="H26" s="9">
        <v>82000</v>
      </c>
      <c r="I26" s="9">
        <v>105000</v>
      </c>
      <c r="J26" s="9">
        <v>187000</v>
      </c>
      <c r="K26" s="9">
        <v>83000</v>
      </c>
      <c r="L26" s="9">
        <v>35000</v>
      </c>
      <c r="M26" s="9">
        <v>77000</v>
      </c>
      <c r="N26" s="9">
        <v>47000</v>
      </c>
      <c r="O26" s="9">
        <v>76000</v>
      </c>
    </row>
    <row r="27" spans="1:15" ht="12.45" customHeight="1">
      <c r="A27" s="12" t="s">
        <v>252</v>
      </c>
      <c r="B27" s="9">
        <v>234000</v>
      </c>
      <c r="C27" s="9">
        <v>105000</v>
      </c>
      <c r="D27" s="9">
        <v>33000</v>
      </c>
      <c r="E27" s="9">
        <v>119000</v>
      </c>
      <c r="F27" s="9">
        <v>16000</v>
      </c>
      <c r="G27" s="9">
        <v>105000</v>
      </c>
      <c r="H27" s="9">
        <v>57000</v>
      </c>
      <c r="I27" s="9">
        <v>105000</v>
      </c>
      <c r="J27" s="9">
        <v>92000</v>
      </c>
      <c r="K27" s="9">
        <v>109000</v>
      </c>
      <c r="L27" s="9">
        <v>1000</v>
      </c>
      <c r="M27" s="13" t="s">
        <v>220</v>
      </c>
      <c r="N27" s="9">
        <v>35000</v>
      </c>
      <c r="O27" s="9">
        <v>78000</v>
      </c>
    </row>
    <row r="28" spans="1:15" ht="12.45" customHeight="1">
      <c r="A28" s="12" t="s">
        <v>442</v>
      </c>
      <c r="B28" s="9">
        <v>107000</v>
      </c>
      <c r="C28" s="9">
        <v>55000</v>
      </c>
      <c r="D28" s="9">
        <v>4000</v>
      </c>
      <c r="E28" s="9">
        <v>44000</v>
      </c>
      <c r="F28" s="9">
        <v>1000</v>
      </c>
      <c r="G28" s="13" t="s">
        <v>220</v>
      </c>
      <c r="H28" s="9">
        <v>4000</v>
      </c>
      <c r="I28" s="13" t="s">
        <v>191</v>
      </c>
      <c r="J28" s="9">
        <v>64000</v>
      </c>
      <c r="K28" s="9">
        <v>36000</v>
      </c>
      <c r="L28" s="9">
        <v>31000</v>
      </c>
      <c r="M28" s="9">
        <v>79000</v>
      </c>
      <c r="N28" s="9">
        <v>2000</v>
      </c>
      <c r="O28" s="9">
        <v>51000</v>
      </c>
    </row>
    <row r="29" spans="1:15" ht="12.45" customHeight="1">
      <c r="A29" s="12" t="s">
        <v>259</v>
      </c>
      <c r="B29" s="9">
        <v>4000</v>
      </c>
      <c r="C29" s="9">
        <v>68000</v>
      </c>
      <c r="D29" s="13" t="s">
        <v>220</v>
      </c>
      <c r="E29" s="13" t="s">
        <v>220</v>
      </c>
      <c r="F29" s="13" t="s">
        <v>220</v>
      </c>
      <c r="G29" s="13" t="s">
        <v>220</v>
      </c>
      <c r="H29" s="13" t="s">
        <v>220</v>
      </c>
      <c r="I29" s="13" t="s">
        <v>220</v>
      </c>
      <c r="J29" s="13" t="s">
        <v>220</v>
      </c>
      <c r="K29" s="13" t="s">
        <v>220</v>
      </c>
      <c r="L29" s="9">
        <v>3000</v>
      </c>
      <c r="M29" s="9">
        <v>70000</v>
      </c>
      <c r="N29" s="13" t="s">
        <v>220</v>
      </c>
      <c r="O29" s="13" t="s">
        <v>220</v>
      </c>
    </row>
    <row r="30" spans="1:15" ht="12.45" customHeight="1">
      <c r="A30" s="12" t="s">
        <v>254</v>
      </c>
      <c r="B30" s="9">
        <v>66000</v>
      </c>
      <c r="C30" s="9">
        <v>92000</v>
      </c>
      <c r="D30" s="9">
        <v>3000</v>
      </c>
      <c r="E30" s="9">
        <v>77000</v>
      </c>
      <c r="F30" s="9">
        <v>2000</v>
      </c>
      <c r="G30" s="13" t="s">
        <v>191</v>
      </c>
      <c r="H30" s="9">
        <v>21000</v>
      </c>
      <c r="I30" s="9">
        <v>104000</v>
      </c>
      <c r="J30" s="9">
        <v>31000</v>
      </c>
      <c r="K30" s="9">
        <v>92000</v>
      </c>
      <c r="L30" s="13" t="s">
        <v>220</v>
      </c>
      <c r="M30" s="13" t="s">
        <v>220</v>
      </c>
      <c r="N30" s="9">
        <v>10000</v>
      </c>
      <c r="O30" s="9">
        <v>76000</v>
      </c>
    </row>
    <row r="31" spans="1:15" ht="12.45" customHeight="1">
      <c r="A31" s="10" t="s">
        <v>192</v>
      </c>
      <c r="B31" s="9">
        <v>594000</v>
      </c>
      <c r="C31" s="9">
        <v>82000</v>
      </c>
      <c r="D31" s="9">
        <v>91000</v>
      </c>
      <c r="E31" s="9">
        <v>82000</v>
      </c>
      <c r="F31" s="9">
        <v>26000</v>
      </c>
      <c r="G31" s="9">
        <v>95000</v>
      </c>
      <c r="H31" s="9">
        <v>110000</v>
      </c>
      <c r="I31" s="9">
        <v>88000</v>
      </c>
      <c r="J31" s="9">
        <v>145000</v>
      </c>
      <c r="K31" s="9">
        <v>82000</v>
      </c>
      <c r="L31" s="9">
        <v>67000</v>
      </c>
      <c r="M31" s="9">
        <v>77000</v>
      </c>
      <c r="N31" s="9">
        <v>156000</v>
      </c>
      <c r="O31" s="9">
        <v>82000</v>
      </c>
    </row>
    <row r="32" spans="1:15" ht="12.45" customHeight="1">
      <c r="A32" s="12" t="s">
        <v>252</v>
      </c>
      <c r="B32" s="9">
        <v>327000</v>
      </c>
      <c r="C32" s="9">
        <v>89000</v>
      </c>
      <c r="D32" s="9">
        <v>76000</v>
      </c>
      <c r="E32" s="9">
        <v>87000</v>
      </c>
      <c r="F32" s="9">
        <v>22000</v>
      </c>
      <c r="G32" s="9">
        <v>98000</v>
      </c>
      <c r="H32" s="9">
        <v>80000</v>
      </c>
      <c r="I32" s="9">
        <v>88000</v>
      </c>
      <c r="J32" s="9">
        <v>59000</v>
      </c>
      <c r="K32" s="9">
        <v>86000</v>
      </c>
      <c r="L32" s="9">
        <v>4000</v>
      </c>
      <c r="M32" s="9">
        <v>68000</v>
      </c>
      <c r="N32" s="9">
        <v>86000</v>
      </c>
      <c r="O32" s="9">
        <v>85000</v>
      </c>
    </row>
    <row r="33" spans="1:15" ht="12.45" customHeight="1">
      <c r="A33" s="12" t="s">
        <v>442</v>
      </c>
      <c r="B33" s="9">
        <v>143000</v>
      </c>
      <c r="C33" s="9">
        <v>69000</v>
      </c>
      <c r="D33" s="13" t="s">
        <v>191</v>
      </c>
      <c r="E33" s="13" t="s">
        <v>191</v>
      </c>
      <c r="F33" s="13" t="s">
        <v>220</v>
      </c>
      <c r="G33" s="13" t="s">
        <v>220</v>
      </c>
      <c r="H33" s="9">
        <v>6000</v>
      </c>
      <c r="I33" s="9">
        <v>62000</v>
      </c>
      <c r="J33" s="9">
        <v>59000</v>
      </c>
      <c r="K33" s="9">
        <v>64000</v>
      </c>
      <c r="L33" s="9">
        <v>56000</v>
      </c>
      <c r="M33" s="9">
        <v>78000</v>
      </c>
      <c r="N33" s="9">
        <v>11000</v>
      </c>
      <c r="O33" s="9">
        <v>75000</v>
      </c>
    </row>
    <row r="34" spans="1:15" ht="12.45" customHeight="1">
      <c r="A34" s="12" t="s">
        <v>259</v>
      </c>
      <c r="B34" s="9">
        <v>48000</v>
      </c>
      <c r="C34" s="9">
        <v>75000</v>
      </c>
      <c r="D34" s="13" t="s">
        <v>220</v>
      </c>
      <c r="E34" s="13" t="s">
        <v>220</v>
      </c>
      <c r="F34" s="13" t="s">
        <v>220</v>
      </c>
      <c r="G34" s="13" t="s">
        <v>220</v>
      </c>
      <c r="H34" s="9">
        <v>3000</v>
      </c>
      <c r="I34" s="9">
        <v>68000</v>
      </c>
      <c r="J34" s="9">
        <v>4000</v>
      </c>
      <c r="K34" s="9">
        <v>83000</v>
      </c>
      <c r="L34" s="9">
        <v>7000</v>
      </c>
      <c r="M34" s="9">
        <v>74000</v>
      </c>
      <c r="N34" s="9">
        <v>33000</v>
      </c>
      <c r="O34" s="9">
        <v>76000</v>
      </c>
    </row>
    <row r="35" spans="1:15" ht="12.45" customHeight="1">
      <c r="A35" s="12" t="s">
        <v>254</v>
      </c>
      <c r="B35" s="9">
        <v>76000</v>
      </c>
      <c r="C35" s="9">
        <v>96000</v>
      </c>
      <c r="D35" s="9">
        <v>4000</v>
      </c>
      <c r="E35" s="9">
        <v>80000</v>
      </c>
      <c r="F35" s="13" t="s">
        <v>191</v>
      </c>
      <c r="G35" s="13" t="s">
        <v>191</v>
      </c>
      <c r="H35" s="9">
        <v>21000</v>
      </c>
      <c r="I35" s="9">
        <v>100000</v>
      </c>
      <c r="J35" s="9">
        <v>22000</v>
      </c>
      <c r="K35" s="9">
        <v>90000</v>
      </c>
      <c r="L35" s="13" t="s">
        <v>220</v>
      </c>
      <c r="M35" s="13" t="s">
        <v>220</v>
      </c>
      <c r="N35" s="9">
        <v>26000</v>
      </c>
      <c r="O35" s="9">
        <v>95000</v>
      </c>
    </row>
    <row r="36" spans="1:15" ht="12.45" customHeight="1">
      <c r="A36" s="10" t="s">
        <v>198</v>
      </c>
      <c r="B36" s="9">
        <v>2155000</v>
      </c>
      <c r="C36" s="9">
        <v>106000</v>
      </c>
      <c r="D36" s="9">
        <v>524000</v>
      </c>
      <c r="E36" s="9">
        <v>115000</v>
      </c>
      <c r="F36" s="9">
        <v>439000</v>
      </c>
      <c r="G36" s="9">
        <v>99000</v>
      </c>
      <c r="H36" s="9">
        <v>508000</v>
      </c>
      <c r="I36" s="9">
        <v>112000</v>
      </c>
      <c r="J36" s="9">
        <v>446000</v>
      </c>
      <c r="K36" s="9">
        <v>105000</v>
      </c>
      <c r="L36" s="9">
        <v>26000</v>
      </c>
      <c r="M36" s="9">
        <v>90000</v>
      </c>
      <c r="N36" s="9">
        <v>212000</v>
      </c>
      <c r="O36" s="9">
        <v>99000</v>
      </c>
    </row>
    <row r="37" spans="1:15" ht="12.45" customHeight="1">
      <c r="A37" s="12" t="s">
        <v>252</v>
      </c>
      <c r="B37" s="9">
        <v>1818000</v>
      </c>
      <c r="C37" s="9">
        <v>110000</v>
      </c>
      <c r="D37" s="9">
        <v>489000</v>
      </c>
      <c r="E37" s="9">
        <v>118000</v>
      </c>
      <c r="F37" s="9">
        <v>402000</v>
      </c>
      <c r="G37" s="9">
        <v>99000</v>
      </c>
      <c r="H37" s="9">
        <v>408000</v>
      </c>
      <c r="I37" s="9">
        <v>113000</v>
      </c>
      <c r="J37" s="9">
        <v>336000</v>
      </c>
      <c r="K37" s="9">
        <v>110000</v>
      </c>
      <c r="L37" s="9">
        <v>2000</v>
      </c>
      <c r="M37" s="9">
        <v>88000</v>
      </c>
      <c r="N37" s="9">
        <v>180000</v>
      </c>
      <c r="O37" s="9">
        <v>100000</v>
      </c>
    </row>
    <row r="38" spans="1:15" ht="12.45" customHeight="1">
      <c r="A38" s="12" t="s">
        <v>442</v>
      </c>
      <c r="B38" s="9">
        <v>119000</v>
      </c>
      <c r="C38" s="9">
        <v>77000</v>
      </c>
      <c r="D38" s="9">
        <v>14000</v>
      </c>
      <c r="E38" s="9">
        <v>78000</v>
      </c>
      <c r="F38" s="9">
        <v>6000</v>
      </c>
      <c r="G38" s="9">
        <v>68000</v>
      </c>
      <c r="H38" s="9">
        <v>12000</v>
      </c>
      <c r="I38" s="9">
        <v>129000</v>
      </c>
      <c r="J38" s="9">
        <v>64000</v>
      </c>
      <c r="K38" s="9">
        <v>55000</v>
      </c>
      <c r="L38" s="9">
        <v>20000</v>
      </c>
      <c r="M38" s="9">
        <v>94000</v>
      </c>
      <c r="N38" s="9">
        <v>3000</v>
      </c>
      <c r="O38" s="9">
        <v>81000</v>
      </c>
    </row>
    <row r="39" spans="1:15" ht="12.45" customHeight="1">
      <c r="A39" s="12" t="s">
        <v>259</v>
      </c>
      <c r="B39" s="9">
        <v>5000</v>
      </c>
      <c r="C39" s="9">
        <v>70000</v>
      </c>
      <c r="D39" s="13" t="s">
        <v>191</v>
      </c>
      <c r="E39" s="13" t="s">
        <v>191</v>
      </c>
      <c r="F39" s="13" t="s">
        <v>220</v>
      </c>
      <c r="G39" s="13" t="s">
        <v>220</v>
      </c>
      <c r="H39" s="13" t="s">
        <v>220</v>
      </c>
      <c r="I39" s="13" t="s">
        <v>220</v>
      </c>
      <c r="J39" s="13" t="s">
        <v>220</v>
      </c>
      <c r="K39" s="13" t="s">
        <v>220</v>
      </c>
      <c r="L39" s="9">
        <v>2000</v>
      </c>
      <c r="M39" s="9">
        <v>70000</v>
      </c>
      <c r="N39" s="13" t="s">
        <v>220</v>
      </c>
      <c r="O39" s="13" t="s">
        <v>220</v>
      </c>
    </row>
  </sheetData>
  <mergeCells count="11">
    <mergeCell ref="A1:P1"/>
    <mergeCell ref="A3:A5"/>
    <mergeCell ref="B3:B5"/>
    <mergeCell ref="C3:C5"/>
    <mergeCell ref="D3:O3"/>
    <mergeCell ref="D4:E4"/>
    <mergeCell ref="F4:G4"/>
    <mergeCell ref="H4:I4"/>
    <mergeCell ref="J4:K4"/>
    <mergeCell ref="L4:M4"/>
    <mergeCell ref="N4:O4"/>
  </mergeCells>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0" tint="-0.249977111117893"/>
  </sheetPr>
  <dimension ref="A1:P18"/>
  <sheetViews>
    <sheetView workbookViewId="0">
      <selection sqref="A1:Z1"/>
    </sheetView>
  </sheetViews>
  <sheetFormatPr defaultRowHeight="13.2"/>
  <cols>
    <col min="1" max="1" width="74" customWidth="1"/>
    <col min="2" max="2" width="14.44140625" customWidth="1"/>
    <col min="3" max="3" width="12.44140625" customWidth="1"/>
    <col min="4" max="4" width="16" customWidth="1"/>
    <col min="5" max="5" width="14" customWidth="1"/>
    <col min="6" max="6" width="12.109375" customWidth="1"/>
    <col min="7" max="7" width="12.44140625" customWidth="1"/>
    <col min="8" max="8" width="22.6640625" customWidth="1"/>
    <col min="9" max="9" width="20.6640625" customWidth="1"/>
    <col min="10" max="10" width="19.44140625" customWidth="1"/>
    <col min="11" max="11" width="17.33203125" customWidth="1"/>
    <col min="12" max="12" width="12.109375" customWidth="1"/>
    <col min="13" max="13" width="10.77734375" customWidth="1"/>
    <col min="14" max="14" width="12.44140625" customWidth="1"/>
    <col min="15" max="15" width="12.109375" customWidth="1"/>
    <col min="16" max="16" width="2.44140625" customWidth="1"/>
  </cols>
  <sheetData>
    <row r="1" spans="1:16" ht="42.75" customHeight="1">
      <c r="A1" s="321" t="s">
        <v>437</v>
      </c>
      <c r="B1" s="321"/>
      <c r="C1" s="321"/>
      <c r="D1" s="321"/>
      <c r="E1" s="321"/>
      <c r="F1" s="321"/>
      <c r="G1" s="321"/>
      <c r="H1" s="321"/>
      <c r="I1" s="321"/>
      <c r="J1" s="321"/>
      <c r="K1" s="321"/>
      <c r="L1" s="321"/>
      <c r="M1" s="321"/>
      <c r="N1" s="321"/>
      <c r="O1" s="321"/>
      <c r="P1" s="321"/>
    </row>
    <row r="2" spans="1:16" ht="13.95" customHeight="1">
      <c r="A2" s="326" t="s">
        <v>438</v>
      </c>
      <c r="B2" s="328" t="s">
        <v>439</v>
      </c>
      <c r="C2" s="328" t="s">
        <v>440</v>
      </c>
      <c r="D2" s="330" t="s">
        <v>390</v>
      </c>
      <c r="E2" s="331"/>
      <c r="F2" s="331"/>
      <c r="G2" s="331"/>
      <c r="H2" s="331"/>
      <c r="I2" s="331"/>
      <c r="J2" s="331"/>
      <c r="K2" s="331"/>
      <c r="L2" s="331"/>
      <c r="M2" s="331"/>
      <c r="N2" s="331"/>
      <c r="O2" s="332"/>
    </row>
    <row r="3" spans="1:16" ht="15.45" customHeight="1">
      <c r="A3" s="327"/>
      <c r="B3" s="387"/>
      <c r="C3" s="387"/>
      <c r="D3" s="388" t="s">
        <v>391</v>
      </c>
      <c r="E3" s="389"/>
      <c r="F3" s="390" t="s">
        <v>392</v>
      </c>
      <c r="G3" s="391"/>
      <c r="H3" s="392" t="s">
        <v>393</v>
      </c>
      <c r="I3" s="393"/>
      <c r="J3" s="394" t="s">
        <v>394</v>
      </c>
      <c r="K3" s="395"/>
      <c r="L3" s="396" t="s">
        <v>395</v>
      </c>
      <c r="M3" s="397"/>
      <c r="N3" s="398" t="s">
        <v>396</v>
      </c>
      <c r="O3" s="399"/>
    </row>
    <row r="4" spans="1:16" ht="13.95" customHeight="1">
      <c r="A4" s="370"/>
      <c r="B4" s="329"/>
      <c r="C4" s="329"/>
      <c r="D4" s="41" t="s">
        <v>439</v>
      </c>
      <c r="E4" s="41" t="s">
        <v>440</v>
      </c>
      <c r="F4" s="5" t="s">
        <v>439</v>
      </c>
      <c r="G4" s="41" t="s">
        <v>440</v>
      </c>
      <c r="H4" s="23" t="s">
        <v>439</v>
      </c>
      <c r="I4" s="23" t="s">
        <v>440</v>
      </c>
      <c r="J4" s="48" t="s">
        <v>439</v>
      </c>
      <c r="K4" s="23" t="s">
        <v>440</v>
      </c>
      <c r="L4" s="5" t="s">
        <v>439</v>
      </c>
      <c r="M4" s="5" t="s">
        <v>440</v>
      </c>
      <c r="N4" s="5" t="s">
        <v>439</v>
      </c>
      <c r="O4" s="41" t="s">
        <v>440</v>
      </c>
    </row>
    <row r="5" spans="1:16" ht="12.45" customHeight="1">
      <c r="A5" s="18" t="s">
        <v>254</v>
      </c>
      <c r="B5" s="7">
        <v>213000</v>
      </c>
      <c r="C5" s="7">
        <v>100000</v>
      </c>
      <c r="D5" s="7">
        <v>18000</v>
      </c>
      <c r="E5" s="7">
        <v>92000</v>
      </c>
      <c r="F5" s="7">
        <v>30000</v>
      </c>
      <c r="G5" s="7">
        <v>93000</v>
      </c>
      <c r="H5" s="7">
        <v>88000</v>
      </c>
      <c r="I5" s="7">
        <v>108000</v>
      </c>
      <c r="J5" s="7">
        <v>45000</v>
      </c>
      <c r="K5" s="7">
        <v>95000</v>
      </c>
      <c r="L5" s="19" t="s">
        <v>191</v>
      </c>
      <c r="M5" s="19" t="s">
        <v>191</v>
      </c>
      <c r="N5" s="7">
        <v>29000</v>
      </c>
      <c r="O5" s="7">
        <v>98000</v>
      </c>
    </row>
    <row r="6" spans="1:16" ht="12.45" customHeight="1">
      <c r="A6" s="8" t="s">
        <v>206</v>
      </c>
      <c r="B6" s="9">
        <v>400000</v>
      </c>
      <c r="C6" s="9">
        <v>92000</v>
      </c>
      <c r="D6" s="9">
        <v>97000</v>
      </c>
      <c r="E6" s="9">
        <v>105000</v>
      </c>
      <c r="F6" s="9">
        <v>38000</v>
      </c>
      <c r="G6" s="9">
        <v>88000</v>
      </c>
      <c r="H6" s="9">
        <v>81000</v>
      </c>
      <c r="I6" s="9">
        <v>94000</v>
      </c>
      <c r="J6" s="9">
        <v>110000</v>
      </c>
      <c r="K6" s="9">
        <v>91000</v>
      </c>
      <c r="L6" s="9">
        <v>15000</v>
      </c>
      <c r="M6" s="9">
        <v>71000</v>
      </c>
      <c r="N6" s="9">
        <v>59000</v>
      </c>
      <c r="O6" s="9">
        <v>73000</v>
      </c>
    </row>
    <row r="7" spans="1:16" ht="12.45" customHeight="1">
      <c r="A7" s="10" t="s">
        <v>252</v>
      </c>
      <c r="B7" s="9">
        <v>291000</v>
      </c>
      <c r="C7" s="9">
        <v>95000</v>
      </c>
      <c r="D7" s="9">
        <v>87000</v>
      </c>
      <c r="E7" s="9">
        <v>107000</v>
      </c>
      <c r="F7" s="9">
        <v>35000</v>
      </c>
      <c r="G7" s="9">
        <v>88000</v>
      </c>
      <c r="H7" s="9">
        <v>60000</v>
      </c>
      <c r="I7" s="9">
        <v>96000</v>
      </c>
      <c r="J7" s="9">
        <v>64000</v>
      </c>
      <c r="K7" s="9">
        <v>95000</v>
      </c>
      <c r="L7" s="9">
        <v>4000</v>
      </c>
      <c r="M7" s="13" t="s">
        <v>191</v>
      </c>
      <c r="N7" s="9">
        <v>42000</v>
      </c>
      <c r="O7" s="9">
        <v>63000</v>
      </c>
    </row>
    <row r="8" spans="1:16" ht="12.45" customHeight="1">
      <c r="A8" s="10" t="s">
        <v>442</v>
      </c>
      <c r="B8" s="9">
        <v>47000</v>
      </c>
      <c r="C8" s="9">
        <v>71000</v>
      </c>
      <c r="D8" s="9">
        <v>3000</v>
      </c>
      <c r="E8" s="9">
        <v>56000</v>
      </c>
      <c r="F8" s="13" t="s">
        <v>222</v>
      </c>
      <c r="G8" s="13" t="s">
        <v>222</v>
      </c>
      <c r="H8" s="9">
        <v>4000</v>
      </c>
      <c r="I8" s="9">
        <v>86000</v>
      </c>
      <c r="J8" s="9">
        <v>24000</v>
      </c>
      <c r="K8" s="9">
        <v>62000</v>
      </c>
      <c r="L8" s="9">
        <v>5000</v>
      </c>
      <c r="M8" s="9">
        <v>73000</v>
      </c>
      <c r="N8" s="9">
        <v>10000</v>
      </c>
      <c r="O8" s="13" t="s">
        <v>191</v>
      </c>
    </row>
    <row r="9" spans="1:16" ht="12.45" customHeight="1">
      <c r="A9" s="10" t="s">
        <v>259</v>
      </c>
      <c r="B9" s="9">
        <v>9000</v>
      </c>
      <c r="C9" s="9">
        <v>72000</v>
      </c>
      <c r="D9" s="13" t="s">
        <v>220</v>
      </c>
      <c r="E9" s="13" t="s">
        <v>220</v>
      </c>
      <c r="F9" s="13" t="s">
        <v>220</v>
      </c>
      <c r="G9" s="13" t="s">
        <v>220</v>
      </c>
      <c r="H9" s="13" t="s">
        <v>220</v>
      </c>
      <c r="I9" s="13" t="s">
        <v>220</v>
      </c>
      <c r="J9" s="13" t="s">
        <v>220</v>
      </c>
      <c r="K9" s="13" t="s">
        <v>220</v>
      </c>
      <c r="L9" s="9">
        <v>6000</v>
      </c>
      <c r="M9" s="9">
        <v>64000</v>
      </c>
      <c r="N9" s="13" t="s">
        <v>220</v>
      </c>
      <c r="O9" s="13" t="s">
        <v>220</v>
      </c>
    </row>
    <row r="10" spans="1:16" ht="12.45" customHeight="1">
      <c r="A10" s="10" t="s">
        <v>254</v>
      </c>
      <c r="B10" s="9">
        <v>54000</v>
      </c>
      <c r="C10" s="9">
        <v>90000</v>
      </c>
      <c r="D10" s="9">
        <v>6000</v>
      </c>
      <c r="E10" s="9">
        <v>62000</v>
      </c>
      <c r="F10" s="13" t="s">
        <v>191</v>
      </c>
      <c r="G10" s="13" t="s">
        <v>191</v>
      </c>
      <c r="H10" s="9">
        <v>17000</v>
      </c>
      <c r="I10" s="9">
        <v>80000</v>
      </c>
      <c r="J10" s="9">
        <v>21000</v>
      </c>
      <c r="K10" s="9">
        <v>100000</v>
      </c>
      <c r="L10" s="13" t="s">
        <v>220</v>
      </c>
      <c r="M10" s="13" t="s">
        <v>220</v>
      </c>
      <c r="N10" s="9">
        <v>7000</v>
      </c>
      <c r="O10" s="9">
        <v>86000</v>
      </c>
    </row>
    <row r="11" spans="1:16" ht="12.45" customHeight="1">
      <c r="A11" s="8" t="s">
        <v>211</v>
      </c>
      <c r="B11" s="9">
        <v>1267000</v>
      </c>
      <c r="C11" s="9">
        <v>93000</v>
      </c>
      <c r="D11" s="9">
        <v>332000</v>
      </c>
      <c r="E11" s="9">
        <v>99000</v>
      </c>
      <c r="F11" s="9">
        <v>109000</v>
      </c>
      <c r="G11" s="9">
        <v>110000</v>
      </c>
      <c r="H11" s="9">
        <v>392000</v>
      </c>
      <c r="I11" s="9">
        <v>100000</v>
      </c>
      <c r="J11" s="9">
        <v>200000</v>
      </c>
      <c r="K11" s="9">
        <v>90000</v>
      </c>
      <c r="L11" s="9">
        <v>52000</v>
      </c>
      <c r="M11" s="9">
        <v>71000</v>
      </c>
      <c r="N11" s="9">
        <v>181000</v>
      </c>
      <c r="O11" s="9">
        <v>85000</v>
      </c>
    </row>
    <row r="12" spans="1:16" ht="12.45" customHeight="1">
      <c r="A12" s="10" t="s">
        <v>252</v>
      </c>
      <c r="B12" s="9">
        <v>964000</v>
      </c>
      <c r="C12" s="9">
        <v>100000</v>
      </c>
      <c r="D12" s="9">
        <v>282000</v>
      </c>
      <c r="E12" s="9">
        <v>101000</v>
      </c>
      <c r="F12" s="9">
        <v>97000</v>
      </c>
      <c r="G12" s="9">
        <v>114000</v>
      </c>
      <c r="H12" s="9">
        <v>303000</v>
      </c>
      <c r="I12" s="9">
        <v>103000</v>
      </c>
      <c r="J12" s="9">
        <v>133000</v>
      </c>
      <c r="K12" s="9">
        <v>101000</v>
      </c>
      <c r="L12" s="9">
        <v>11000</v>
      </c>
      <c r="M12" s="9">
        <v>64000</v>
      </c>
      <c r="N12" s="9">
        <v>139000</v>
      </c>
      <c r="O12" s="9">
        <v>85000</v>
      </c>
    </row>
    <row r="13" spans="1:16" ht="12.45" customHeight="1">
      <c r="A13" s="10" t="s">
        <v>442</v>
      </c>
      <c r="B13" s="9">
        <v>94000</v>
      </c>
      <c r="C13" s="9">
        <v>73000</v>
      </c>
      <c r="D13" s="9">
        <v>16000</v>
      </c>
      <c r="E13" s="9">
        <v>73000</v>
      </c>
      <c r="F13" s="9">
        <v>8000</v>
      </c>
      <c r="G13" s="9">
        <v>77000</v>
      </c>
      <c r="H13" s="9">
        <v>15000</v>
      </c>
      <c r="I13" s="9">
        <v>79000</v>
      </c>
      <c r="J13" s="9">
        <v>24000</v>
      </c>
      <c r="K13" s="9">
        <v>61000</v>
      </c>
      <c r="L13" s="9">
        <v>27000</v>
      </c>
      <c r="M13" s="9">
        <v>73000</v>
      </c>
      <c r="N13" s="9">
        <v>6000</v>
      </c>
      <c r="O13" s="9">
        <v>57000</v>
      </c>
    </row>
    <row r="14" spans="1:16" ht="12.45" customHeight="1">
      <c r="A14" s="10" t="s">
        <v>259</v>
      </c>
      <c r="B14" s="9">
        <v>49000</v>
      </c>
      <c r="C14" s="9">
        <v>61000</v>
      </c>
      <c r="D14" s="9">
        <v>8000</v>
      </c>
      <c r="E14" s="9">
        <v>67000</v>
      </c>
      <c r="F14" s="13" t="s">
        <v>220</v>
      </c>
      <c r="G14" s="13" t="s">
        <v>220</v>
      </c>
      <c r="H14" s="9">
        <v>10000</v>
      </c>
      <c r="I14" s="9">
        <v>62000</v>
      </c>
      <c r="J14" s="13" t="s">
        <v>191</v>
      </c>
      <c r="K14" s="13" t="s">
        <v>191</v>
      </c>
      <c r="L14" s="9">
        <v>8000</v>
      </c>
      <c r="M14" s="9">
        <v>67000</v>
      </c>
      <c r="N14" s="13" t="s">
        <v>191</v>
      </c>
      <c r="O14" s="13" t="s">
        <v>191</v>
      </c>
    </row>
    <row r="15" spans="1:16" ht="12.45" customHeight="1">
      <c r="A15" s="20" t="s">
        <v>254</v>
      </c>
      <c r="B15" s="21">
        <v>160000</v>
      </c>
      <c r="C15" s="21">
        <v>90000</v>
      </c>
      <c r="D15" s="21">
        <v>26000</v>
      </c>
      <c r="E15" s="21">
        <v>74000</v>
      </c>
      <c r="F15" s="21">
        <v>5000</v>
      </c>
      <c r="G15" s="21">
        <v>113000</v>
      </c>
      <c r="H15" s="21">
        <v>64000</v>
      </c>
      <c r="I15" s="21">
        <v>95000</v>
      </c>
      <c r="J15" s="21">
        <v>32000</v>
      </c>
      <c r="K15" s="21">
        <v>85000</v>
      </c>
      <c r="L15" s="40" t="s">
        <v>191</v>
      </c>
      <c r="M15" s="40" t="s">
        <v>191</v>
      </c>
      <c r="N15" s="21">
        <v>27000</v>
      </c>
      <c r="O15" s="21">
        <v>92000</v>
      </c>
    </row>
    <row r="16" spans="1:16" ht="11.25" customHeight="1">
      <c r="A16" s="344" t="s">
        <v>224</v>
      </c>
      <c r="B16" s="344"/>
      <c r="C16" s="344"/>
      <c r="D16" s="344"/>
      <c r="E16" s="344"/>
      <c r="F16" s="344"/>
      <c r="G16" s="344"/>
      <c r="H16" s="344"/>
      <c r="I16" s="344"/>
      <c r="J16" s="344"/>
      <c r="K16" s="344"/>
      <c r="L16" s="344"/>
      <c r="M16" s="344"/>
      <c r="N16" s="344"/>
      <c r="O16" s="344"/>
      <c r="P16" s="344"/>
    </row>
    <row r="17" spans="1:16" ht="130.5" customHeight="1">
      <c r="A17" s="321" t="s">
        <v>443</v>
      </c>
      <c r="B17" s="321"/>
      <c r="C17" s="321"/>
      <c r="D17" s="321"/>
      <c r="E17" s="321"/>
      <c r="F17" s="321"/>
      <c r="G17" s="321"/>
      <c r="H17" s="321"/>
      <c r="I17" s="321"/>
      <c r="J17" s="321"/>
      <c r="K17" s="321"/>
      <c r="L17" s="321"/>
      <c r="M17" s="321"/>
      <c r="N17" s="321"/>
      <c r="O17" s="321"/>
      <c r="P17" s="321"/>
    </row>
    <row r="18" spans="1:16" ht="1.95" customHeight="1"/>
  </sheetData>
  <mergeCells count="13">
    <mergeCell ref="A16:P16"/>
    <mergeCell ref="A17:P17"/>
    <mergeCell ref="A1:P1"/>
    <mergeCell ref="A2:A4"/>
    <mergeCell ref="B2:B4"/>
    <mergeCell ref="C2:C4"/>
    <mergeCell ref="D2:O2"/>
    <mergeCell ref="D3:E3"/>
    <mergeCell ref="F3:G3"/>
    <mergeCell ref="H3:I3"/>
    <mergeCell ref="J3:K3"/>
    <mergeCell ref="L3:M3"/>
    <mergeCell ref="N3:O3"/>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1" t="s">
        <v>444</v>
      </c>
      <c r="B1" s="321"/>
      <c r="C1" s="321"/>
      <c r="D1" s="321"/>
      <c r="E1" s="321"/>
      <c r="F1" s="321"/>
      <c r="G1" s="321"/>
      <c r="H1" s="321"/>
      <c r="I1" s="321"/>
      <c r="J1" s="321"/>
      <c r="K1" s="321"/>
      <c r="L1" s="321"/>
      <c r="M1" s="321"/>
      <c r="N1" s="321"/>
      <c r="O1" s="321"/>
      <c r="P1" s="321"/>
      <c r="Q1" s="321"/>
      <c r="R1" s="321"/>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6" t="s">
        <v>456</v>
      </c>
      <c r="B5" s="7">
        <v>68593000</v>
      </c>
      <c r="C5" s="7">
        <v>51764000</v>
      </c>
      <c r="D5" s="7">
        <v>44153000</v>
      </c>
      <c r="E5" s="7">
        <v>7611000</v>
      </c>
      <c r="F5" s="7">
        <v>7230000</v>
      </c>
      <c r="G5" s="7">
        <v>664000</v>
      </c>
      <c r="H5" s="7">
        <v>7975000</v>
      </c>
      <c r="I5" s="7">
        <v>1547000</v>
      </c>
      <c r="J5" s="7">
        <v>28948000</v>
      </c>
      <c r="K5" s="7">
        <v>5400000</v>
      </c>
      <c r="L5" s="7">
        <v>3160000</v>
      </c>
      <c r="M5" s="7">
        <v>13669000</v>
      </c>
      <c r="N5" s="7">
        <v>606000</v>
      </c>
      <c r="O5" s="7">
        <v>9335000</v>
      </c>
      <c r="P5" s="7">
        <v>3729000</v>
      </c>
      <c r="Q5" s="7">
        <v>77000</v>
      </c>
    </row>
    <row r="6" spans="1:18" ht="12.45" customHeight="1">
      <c r="A6" s="8" t="s">
        <v>282</v>
      </c>
      <c r="B6" s="9">
        <v>36354000</v>
      </c>
      <c r="C6" s="9">
        <v>26493000</v>
      </c>
      <c r="D6" s="9">
        <v>21594000</v>
      </c>
      <c r="E6" s="9">
        <v>4899000</v>
      </c>
      <c r="F6" s="9">
        <v>1998000</v>
      </c>
      <c r="G6" s="9">
        <v>302000</v>
      </c>
      <c r="H6" s="9">
        <v>4380000</v>
      </c>
      <c r="I6" s="9">
        <v>1114000</v>
      </c>
      <c r="J6" s="9">
        <v>15216000</v>
      </c>
      <c r="K6" s="9">
        <v>3483000</v>
      </c>
      <c r="L6" s="9">
        <v>1638000</v>
      </c>
      <c r="M6" s="9">
        <v>8222000</v>
      </c>
      <c r="N6" s="9">
        <v>341000</v>
      </c>
      <c r="O6" s="9">
        <v>4863000</v>
      </c>
      <c r="P6" s="9">
        <v>3018000</v>
      </c>
      <c r="Q6" s="9">
        <v>66000</v>
      </c>
    </row>
    <row r="7" spans="1:18" ht="12.45" customHeight="1">
      <c r="A7" s="8" t="s">
        <v>283</v>
      </c>
      <c r="B7" s="9">
        <v>32239000</v>
      </c>
      <c r="C7" s="9">
        <v>25271000</v>
      </c>
      <c r="D7" s="9">
        <v>22559000</v>
      </c>
      <c r="E7" s="9">
        <v>2711000</v>
      </c>
      <c r="F7" s="9">
        <v>5232000</v>
      </c>
      <c r="G7" s="9">
        <v>361000</v>
      </c>
      <c r="H7" s="9">
        <v>3595000</v>
      </c>
      <c r="I7" s="9">
        <v>433000</v>
      </c>
      <c r="J7" s="9">
        <v>13732000</v>
      </c>
      <c r="K7" s="9">
        <v>1917000</v>
      </c>
      <c r="L7" s="9">
        <v>1522000</v>
      </c>
      <c r="M7" s="9">
        <v>5447000</v>
      </c>
      <c r="N7" s="9">
        <v>264000</v>
      </c>
      <c r="O7" s="9">
        <v>4471000</v>
      </c>
      <c r="P7" s="9">
        <v>711000</v>
      </c>
      <c r="Q7" s="9">
        <v>90000</v>
      </c>
    </row>
    <row r="8" spans="1:18" ht="12.45" customHeight="1">
      <c r="A8" s="8" t="s">
        <v>265</v>
      </c>
      <c r="B8" s="9">
        <v>6638000</v>
      </c>
      <c r="C8" s="9">
        <v>5307000</v>
      </c>
      <c r="D8" s="9">
        <v>4608000</v>
      </c>
      <c r="E8" s="9">
        <v>699000</v>
      </c>
      <c r="F8" s="9">
        <v>636000</v>
      </c>
      <c r="G8" s="9">
        <v>56000</v>
      </c>
      <c r="H8" s="9">
        <v>712000</v>
      </c>
      <c r="I8" s="9">
        <v>131000</v>
      </c>
      <c r="J8" s="9">
        <v>3260000</v>
      </c>
      <c r="K8" s="9">
        <v>512000</v>
      </c>
      <c r="L8" s="9">
        <v>426000</v>
      </c>
      <c r="M8" s="9">
        <v>904000</v>
      </c>
      <c r="N8" s="9">
        <v>70000</v>
      </c>
      <c r="O8" s="9">
        <v>444000</v>
      </c>
      <c r="P8" s="9">
        <v>391000</v>
      </c>
      <c r="Q8" s="9">
        <v>68000</v>
      </c>
    </row>
    <row r="9" spans="1:18" ht="12.45" customHeight="1">
      <c r="A9" s="8" t="s">
        <v>266</v>
      </c>
      <c r="B9" s="53"/>
      <c r="C9" s="53"/>
      <c r="D9" s="53"/>
      <c r="E9" s="53"/>
      <c r="F9" s="53"/>
      <c r="G9" s="53"/>
      <c r="H9" s="53"/>
      <c r="I9" s="53"/>
      <c r="J9" s="53"/>
      <c r="K9" s="53"/>
      <c r="L9" s="53"/>
      <c r="M9" s="53"/>
      <c r="N9" s="53"/>
      <c r="O9" s="53"/>
      <c r="P9" s="53"/>
      <c r="Q9" s="53"/>
    </row>
    <row r="10" spans="1:18" ht="12.45" customHeight="1">
      <c r="A10" s="10" t="s">
        <v>270</v>
      </c>
      <c r="B10" s="9">
        <v>189000</v>
      </c>
      <c r="C10" s="9">
        <v>126000</v>
      </c>
      <c r="D10" s="9">
        <v>107000</v>
      </c>
      <c r="E10" s="9">
        <v>19000</v>
      </c>
      <c r="F10" s="9">
        <v>9000</v>
      </c>
      <c r="G10" s="13" t="s">
        <v>191</v>
      </c>
      <c r="H10" s="9">
        <v>20000</v>
      </c>
      <c r="I10" s="13" t="s">
        <v>191</v>
      </c>
      <c r="J10" s="9">
        <v>78000</v>
      </c>
      <c r="K10" s="9">
        <v>16000</v>
      </c>
      <c r="L10" s="13" t="s">
        <v>191</v>
      </c>
      <c r="M10" s="9">
        <v>47000</v>
      </c>
      <c r="N10" s="13" t="s">
        <v>220</v>
      </c>
      <c r="O10" s="9">
        <v>36000</v>
      </c>
      <c r="P10" s="13" t="s">
        <v>191</v>
      </c>
      <c r="Q10" s="9">
        <v>59000</v>
      </c>
    </row>
    <row r="11" spans="1:18" ht="12.45" customHeight="1">
      <c r="A11" s="10" t="s">
        <v>271</v>
      </c>
      <c r="B11" s="9">
        <v>7029000</v>
      </c>
      <c r="C11" s="9">
        <v>5475000</v>
      </c>
      <c r="D11" s="9">
        <v>4772000</v>
      </c>
      <c r="E11" s="9">
        <v>703000</v>
      </c>
      <c r="F11" s="9">
        <v>1536000</v>
      </c>
      <c r="G11" s="9">
        <v>129000</v>
      </c>
      <c r="H11" s="9">
        <v>1085000</v>
      </c>
      <c r="I11" s="9">
        <v>179000</v>
      </c>
      <c r="J11" s="9">
        <v>2151000</v>
      </c>
      <c r="K11" s="9">
        <v>395000</v>
      </c>
      <c r="L11" s="9">
        <v>410000</v>
      </c>
      <c r="M11" s="9">
        <v>1144000</v>
      </c>
      <c r="N11" s="9">
        <v>147000</v>
      </c>
      <c r="O11" s="9">
        <v>445000</v>
      </c>
      <c r="P11" s="9">
        <v>552000</v>
      </c>
      <c r="Q11" s="9">
        <v>95000</v>
      </c>
    </row>
    <row r="12" spans="1:18" ht="12.45" customHeight="1">
      <c r="A12" s="10" t="s">
        <v>272</v>
      </c>
      <c r="B12" s="9">
        <v>5301000</v>
      </c>
      <c r="C12" s="9">
        <v>4109000</v>
      </c>
      <c r="D12" s="9">
        <v>3618000</v>
      </c>
      <c r="E12" s="9">
        <v>491000</v>
      </c>
      <c r="F12" s="9">
        <v>369000</v>
      </c>
      <c r="G12" s="9">
        <v>30000</v>
      </c>
      <c r="H12" s="9">
        <v>658000</v>
      </c>
      <c r="I12" s="9">
        <v>98000</v>
      </c>
      <c r="J12" s="9">
        <v>2592000</v>
      </c>
      <c r="K12" s="9">
        <v>363000</v>
      </c>
      <c r="L12" s="9">
        <v>385000</v>
      </c>
      <c r="M12" s="9">
        <v>807000</v>
      </c>
      <c r="N12" s="9">
        <v>51000</v>
      </c>
      <c r="O12" s="9">
        <v>523000</v>
      </c>
      <c r="P12" s="9">
        <v>233000</v>
      </c>
      <c r="Q12" s="9">
        <v>63000</v>
      </c>
    </row>
    <row r="13" spans="1:18" ht="12.45" customHeight="1">
      <c r="A13" s="10" t="s">
        <v>273</v>
      </c>
      <c r="B13" s="9">
        <v>164000</v>
      </c>
      <c r="C13" s="9">
        <v>136000</v>
      </c>
      <c r="D13" s="9">
        <v>128000</v>
      </c>
      <c r="E13" s="9">
        <v>7000</v>
      </c>
      <c r="F13" s="9">
        <v>15000</v>
      </c>
      <c r="G13" s="13" t="s">
        <v>191</v>
      </c>
      <c r="H13" s="9">
        <v>35000</v>
      </c>
      <c r="I13" s="13" t="s">
        <v>220</v>
      </c>
      <c r="J13" s="9">
        <v>78000</v>
      </c>
      <c r="K13" s="9">
        <v>5000</v>
      </c>
      <c r="L13" s="9">
        <v>6000</v>
      </c>
      <c r="M13" s="9">
        <v>23000</v>
      </c>
      <c r="N13" s="13" t="s">
        <v>220</v>
      </c>
      <c r="O13" s="9">
        <v>15000</v>
      </c>
      <c r="P13" s="13" t="s">
        <v>191</v>
      </c>
      <c r="Q13" s="9">
        <v>84000</v>
      </c>
    </row>
    <row r="14" spans="1:18" ht="12.45" customHeight="1">
      <c r="A14" s="10" t="s">
        <v>274</v>
      </c>
      <c r="B14" s="9">
        <v>47685000</v>
      </c>
      <c r="C14" s="9">
        <v>35373000</v>
      </c>
      <c r="D14" s="9">
        <v>29833000</v>
      </c>
      <c r="E14" s="9">
        <v>5540000</v>
      </c>
      <c r="F14" s="9">
        <v>4505000</v>
      </c>
      <c r="G14" s="9">
        <v>438000</v>
      </c>
      <c r="H14" s="9">
        <v>5311000</v>
      </c>
      <c r="I14" s="9">
        <v>1101000</v>
      </c>
      <c r="J14" s="9">
        <v>20017000</v>
      </c>
      <c r="K14" s="9">
        <v>4001000</v>
      </c>
      <c r="L14" s="9">
        <v>1795000</v>
      </c>
      <c r="M14" s="9">
        <v>10517000</v>
      </c>
      <c r="N14" s="9">
        <v>322000</v>
      </c>
      <c r="O14" s="9">
        <v>7744000</v>
      </c>
      <c r="P14" s="9">
        <v>2451000</v>
      </c>
      <c r="Q14" s="9">
        <v>79000</v>
      </c>
    </row>
    <row r="15" spans="1:18" ht="12.45" customHeight="1">
      <c r="A15" s="10" t="s">
        <v>275</v>
      </c>
      <c r="B15" s="9">
        <v>1587000</v>
      </c>
      <c r="C15" s="9">
        <v>1238000</v>
      </c>
      <c r="D15" s="9">
        <v>1087000</v>
      </c>
      <c r="E15" s="9">
        <v>151000</v>
      </c>
      <c r="F15" s="9">
        <v>161000</v>
      </c>
      <c r="G15" s="9">
        <v>9000</v>
      </c>
      <c r="H15" s="9">
        <v>153000</v>
      </c>
      <c r="I15" s="9">
        <v>36000</v>
      </c>
      <c r="J15" s="9">
        <v>773000</v>
      </c>
      <c r="K15" s="9">
        <v>107000</v>
      </c>
      <c r="L15" s="9">
        <v>122000</v>
      </c>
      <c r="M15" s="9">
        <v>227000</v>
      </c>
      <c r="N15" s="9">
        <v>15000</v>
      </c>
      <c r="O15" s="9">
        <v>128000</v>
      </c>
      <c r="P15" s="9">
        <v>85000</v>
      </c>
      <c r="Q15" s="9">
        <v>75000</v>
      </c>
    </row>
    <row r="16" spans="1:18" ht="12.45" customHeight="1">
      <c r="A16" s="8" t="s">
        <v>267</v>
      </c>
      <c r="B16" s="9">
        <v>58505000</v>
      </c>
      <c r="C16" s="9">
        <v>45426000</v>
      </c>
      <c r="D16" s="9">
        <v>39002000</v>
      </c>
      <c r="E16" s="9">
        <v>6424000</v>
      </c>
      <c r="F16" s="9">
        <v>6438000</v>
      </c>
      <c r="G16" s="9">
        <v>567000</v>
      </c>
      <c r="H16" s="9">
        <v>7179000</v>
      </c>
      <c r="I16" s="9">
        <v>1355000</v>
      </c>
      <c r="J16" s="9">
        <v>25384000</v>
      </c>
      <c r="K16" s="9">
        <v>4502000</v>
      </c>
      <c r="L16" s="9">
        <v>2582000</v>
      </c>
      <c r="M16" s="9">
        <v>10497000</v>
      </c>
      <c r="N16" s="9">
        <v>539000</v>
      </c>
      <c r="O16" s="9">
        <v>7016000</v>
      </c>
      <c r="P16" s="9">
        <v>2942000</v>
      </c>
      <c r="Q16" s="9">
        <v>78000</v>
      </c>
    </row>
    <row r="17" spans="1:17" ht="12.45" customHeight="1">
      <c r="A17" s="8" t="s">
        <v>268</v>
      </c>
      <c r="B17" s="9">
        <v>10087000</v>
      </c>
      <c r="C17" s="9">
        <v>6338000</v>
      </c>
      <c r="D17" s="9">
        <v>5151000</v>
      </c>
      <c r="E17" s="9">
        <v>1187000</v>
      </c>
      <c r="F17" s="9">
        <v>792000</v>
      </c>
      <c r="G17" s="9">
        <v>96000</v>
      </c>
      <c r="H17" s="9">
        <v>795000</v>
      </c>
      <c r="I17" s="9">
        <v>192000</v>
      </c>
      <c r="J17" s="9">
        <v>3564000</v>
      </c>
      <c r="K17" s="9">
        <v>898000</v>
      </c>
      <c r="L17" s="9">
        <v>578000</v>
      </c>
      <c r="M17" s="9">
        <v>3172000</v>
      </c>
      <c r="N17" s="9">
        <v>66000</v>
      </c>
      <c r="O17" s="9">
        <v>2318000</v>
      </c>
      <c r="P17" s="9">
        <v>787000</v>
      </c>
      <c r="Q17" s="9">
        <v>70000</v>
      </c>
    </row>
    <row r="18" spans="1:17" ht="12.45" customHeight="1">
      <c r="A18" s="10" t="s">
        <v>457</v>
      </c>
      <c r="B18" s="53"/>
      <c r="C18" s="53"/>
      <c r="D18" s="53"/>
      <c r="E18" s="53"/>
      <c r="F18" s="53"/>
      <c r="G18" s="53"/>
      <c r="H18" s="53"/>
      <c r="I18" s="53"/>
      <c r="J18" s="53"/>
      <c r="K18" s="53"/>
      <c r="L18" s="53"/>
      <c r="M18" s="53"/>
      <c r="N18" s="53"/>
      <c r="O18" s="53"/>
      <c r="P18" s="53"/>
      <c r="Q18" s="53"/>
    </row>
    <row r="19" spans="1:17" ht="12.45" customHeight="1">
      <c r="A19" s="12" t="s">
        <v>458</v>
      </c>
      <c r="B19" s="9">
        <v>784000</v>
      </c>
      <c r="C19" s="9">
        <v>529000</v>
      </c>
      <c r="D19" s="9">
        <v>426000</v>
      </c>
      <c r="E19" s="9">
        <v>103000</v>
      </c>
      <c r="F19" s="9">
        <v>90000</v>
      </c>
      <c r="G19" s="9">
        <v>10000</v>
      </c>
      <c r="H19" s="9">
        <v>54000</v>
      </c>
      <c r="I19" s="9">
        <v>18000</v>
      </c>
      <c r="J19" s="9">
        <v>282000</v>
      </c>
      <c r="K19" s="9">
        <v>75000</v>
      </c>
      <c r="L19" s="9">
        <v>63000</v>
      </c>
      <c r="M19" s="9">
        <v>192000</v>
      </c>
      <c r="N19" s="13" t="s">
        <v>191</v>
      </c>
      <c r="O19" s="9">
        <v>96000</v>
      </c>
      <c r="P19" s="9">
        <v>89000</v>
      </c>
      <c r="Q19" s="9">
        <v>65000</v>
      </c>
    </row>
    <row r="20" spans="1:17" ht="12.45" customHeight="1">
      <c r="A20" s="12" t="s">
        <v>459</v>
      </c>
      <c r="B20" s="9">
        <v>984000</v>
      </c>
      <c r="C20" s="9">
        <v>716000</v>
      </c>
      <c r="D20" s="9">
        <v>584000</v>
      </c>
      <c r="E20" s="9">
        <v>133000</v>
      </c>
      <c r="F20" s="9">
        <v>106000</v>
      </c>
      <c r="G20" s="9">
        <v>13000</v>
      </c>
      <c r="H20" s="9">
        <v>84000</v>
      </c>
      <c r="I20" s="9">
        <v>15000</v>
      </c>
      <c r="J20" s="9">
        <v>394000</v>
      </c>
      <c r="K20" s="9">
        <v>105000</v>
      </c>
      <c r="L20" s="9">
        <v>94000</v>
      </c>
      <c r="M20" s="9">
        <v>175000</v>
      </c>
      <c r="N20" s="13" t="s">
        <v>191</v>
      </c>
      <c r="O20" s="9">
        <v>98000</v>
      </c>
      <c r="P20" s="9">
        <v>67000</v>
      </c>
      <c r="Q20" s="9">
        <v>60000</v>
      </c>
    </row>
    <row r="21" spans="1:17" ht="12.45" customHeight="1">
      <c r="A21" s="12" t="s">
        <v>460</v>
      </c>
      <c r="B21" s="9">
        <v>1635000</v>
      </c>
      <c r="C21" s="9">
        <v>1212000</v>
      </c>
      <c r="D21" s="9">
        <v>1010000</v>
      </c>
      <c r="E21" s="9">
        <v>201000</v>
      </c>
      <c r="F21" s="9">
        <v>186000</v>
      </c>
      <c r="G21" s="9">
        <v>10000</v>
      </c>
      <c r="H21" s="9">
        <v>175000</v>
      </c>
      <c r="I21" s="9">
        <v>40000</v>
      </c>
      <c r="J21" s="9">
        <v>649000</v>
      </c>
      <c r="K21" s="9">
        <v>151000</v>
      </c>
      <c r="L21" s="9">
        <v>102000</v>
      </c>
      <c r="M21" s="9">
        <v>322000</v>
      </c>
      <c r="N21" s="9">
        <v>31000</v>
      </c>
      <c r="O21" s="9">
        <v>151000</v>
      </c>
      <c r="P21" s="9">
        <v>140000</v>
      </c>
      <c r="Q21" s="9">
        <v>65000</v>
      </c>
    </row>
    <row r="22" spans="1:17" ht="12.45" customHeight="1">
      <c r="A22" s="12" t="s">
        <v>461</v>
      </c>
      <c r="B22" s="9">
        <v>1181000</v>
      </c>
      <c r="C22" s="9">
        <v>814000</v>
      </c>
      <c r="D22" s="9">
        <v>720000</v>
      </c>
      <c r="E22" s="9">
        <v>94000</v>
      </c>
      <c r="F22" s="9">
        <v>100000</v>
      </c>
      <c r="G22" s="9">
        <v>9000</v>
      </c>
      <c r="H22" s="9">
        <v>107000</v>
      </c>
      <c r="I22" s="9">
        <v>7000</v>
      </c>
      <c r="J22" s="9">
        <v>513000</v>
      </c>
      <c r="K22" s="9">
        <v>78000</v>
      </c>
      <c r="L22" s="9">
        <v>80000</v>
      </c>
      <c r="M22" s="9">
        <v>287000</v>
      </c>
      <c r="N22" s="9">
        <v>6000</v>
      </c>
      <c r="O22" s="9">
        <v>153000</v>
      </c>
      <c r="P22" s="9">
        <v>128000</v>
      </c>
      <c r="Q22" s="9">
        <v>68000</v>
      </c>
    </row>
    <row r="23" spans="1:17" ht="12.45" customHeight="1">
      <c r="A23" s="12" t="s">
        <v>324</v>
      </c>
      <c r="B23" s="9">
        <v>954000</v>
      </c>
      <c r="C23" s="9">
        <v>686000</v>
      </c>
      <c r="D23" s="9">
        <v>569000</v>
      </c>
      <c r="E23" s="9">
        <v>118000</v>
      </c>
      <c r="F23" s="9">
        <v>90000</v>
      </c>
      <c r="G23" s="9">
        <v>9000</v>
      </c>
      <c r="H23" s="9">
        <v>103000</v>
      </c>
      <c r="I23" s="9">
        <v>27000</v>
      </c>
      <c r="J23" s="9">
        <v>376000</v>
      </c>
      <c r="K23" s="9">
        <v>83000</v>
      </c>
      <c r="L23" s="9">
        <v>57000</v>
      </c>
      <c r="M23" s="9">
        <v>210000</v>
      </c>
      <c r="N23" s="13" t="s">
        <v>220</v>
      </c>
      <c r="O23" s="9">
        <v>121000</v>
      </c>
      <c r="P23" s="9">
        <v>88000</v>
      </c>
      <c r="Q23" s="9">
        <v>75000</v>
      </c>
    </row>
    <row r="24" spans="1:17" ht="12.45" customHeight="1">
      <c r="A24" s="12" t="s">
        <v>325</v>
      </c>
      <c r="B24" s="9">
        <v>1610000</v>
      </c>
      <c r="C24" s="9">
        <v>1101000</v>
      </c>
      <c r="D24" s="9">
        <v>932000</v>
      </c>
      <c r="E24" s="9">
        <v>169000</v>
      </c>
      <c r="F24" s="9">
        <v>126000</v>
      </c>
      <c r="G24" s="9">
        <v>13000</v>
      </c>
      <c r="H24" s="9">
        <v>122000</v>
      </c>
      <c r="I24" s="9">
        <v>20000</v>
      </c>
      <c r="J24" s="9">
        <v>685000</v>
      </c>
      <c r="K24" s="9">
        <v>135000</v>
      </c>
      <c r="L24" s="9">
        <v>82000</v>
      </c>
      <c r="M24" s="9">
        <v>427000</v>
      </c>
      <c r="N24" s="13" t="s">
        <v>220</v>
      </c>
      <c r="O24" s="9">
        <v>268000</v>
      </c>
      <c r="P24" s="9">
        <v>153000</v>
      </c>
      <c r="Q24" s="9">
        <v>83000</v>
      </c>
    </row>
    <row r="25" spans="1:17" ht="12.45" customHeight="1">
      <c r="A25" s="12" t="s">
        <v>462</v>
      </c>
      <c r="B25" s="9">
        <v>1427000</v>
      </c>
      <c r="C25" s="9">
        <v>815000</v>
      </c>
      <c r="D25" s="9">
        <v>657000</v>
      </c>
      <c r="E25" s="9">
        <v>158000</v>
      </c>
      <c r="F25" s="9">
        <v>63000</v>
      </c>
      <c r="G25" s="9">
        <v>16000</v>
      </c>
      <c r="H25" s="9">
        <v>114000</v>
      </c>
      <c r="I25" s="9">
        <v>40000</v>
      </c>
      <c r="J25" s="9">
        <v>480000</v>
      </c>
      <c r="K25" s="9">
        <v>101000</v>
      </c>
      <c r="L25" s="9">
        <v>60000</v>
      </c>
      <c r="M25" s="9">
        <v>551000</v>
      </c>
      <c r="N25" s="13" t="s">
        <v>220</v>
      </c>
      <c r="O25" s="9">
        <v>455000</v>
      </c>
      <c r="P25" s="9">
        <v>91000</v>
      </c>
      <c r="Q25" s="9">
        <v>72000</v>
      </c>
    </row>
    <row r="26" spans="1:17" ht="12.45" customHeight="1">
      <c r="A26" s="12" t="s">
        <v>463</v>
      </c>
      <c r="B26" s="9">
        <v>1512000</v>
      </c>
      <c r="C26" s="9">
        <v>465000</v>
      </c>
      <c r="D26" s="9">
        <v>254000</v>
      </c>
      <c r="E26" s="9">
        <v>211000</v>
      </c>
      <c r="F26" s="9">
        <v>32000</v>
      </c>
      <c r="G26" s="9">
        <v>16000</v>
      </c>
      <c r="H26" s="9">
        <v>37000</v>
      </c>
      <c r="I26" s="9">
        <v>25000</v>
      </c>
      <c r="J26" s="9">
        <v>186000</v>
      </c>
      <c r="K26" s="9">
        <v>170000</v>
      </c>
      <c r="L26" s="9">
        <v>40000</v>
      </c>
      <c r="M26" s="9">
        <v>1007000</v>
      </c>
      <c r="N26" s="13" t="s">
        <v>220</v>
      </c>
      <c r="O26" s="9">
        <v>975000</v>
      </c>
      <c r="P26" s="9">
        <v>31000</v>
      </c>
      <c r="Q26" s="9">
        <v>75000</v>
      </c>
    </row>
    <row r="27" spans="1:17" ht="12.45" customHeight="1">
      <c r="A27" s="8" t="s">
        <v>323</v>
      </c>
      <c r="B27" s="9">
        <v>8837000</v>
      </c>
      <c r="C27" s="9">
        <v>7489000</v>
      </c>
      <c r="D27" s="9">
        <v>6586000</v>
      </c>
      <c r="E27" s="9">
        <v>903000</v>
      </c>
      <c r="F27" s="9">
        <v>1430000</v>
      </c>
      <c r="G27" s="9">
        <v>168000</v>
      </c>
      <c r="H27" s="9">
        <v>1189000</v>
      </c>
      <c r="I27" s="9">
        <v>201000</v>
      </c>
      <c r="J27" s="9">
        <v>3967000</v>
      </c>
      <c r="K27" s="9">
        <v>534000</v>
      </c>
      <c r="L27" s="9">
        <v>592000</v>
      </c>
      <c r="M27" s="9">
        <v>756000</v>
      </c>
      <c r="N27" s="9">
        <v>367000</v>
      </c>
      <c r="O27" s="13" t="s">
        <v>220</v>
      </c>
      <c r="P27" s="9">
        <v>389000</v>
      </c>
      <c r="Q27" s="9">
        <v>55000</v>
      </c>
    </row>
    <row r="28" spans="1:17" ht="12.45" customHeight="1">
      <c r="A28" s="10" t="s">
        <v>282</v>
      </c>
      <c r="B28" s="9">
        <v>4978000</v>
      </c>
      <c r="C28" s="9">
        <v>4184000</v>
      </c>
      <c r="D28" s="9">
        <v>3615000</v>
      </c>
      <c r="E28" s="9">
        <v>569000</v>
      </c>
      <c r="F28" s="9">
        <v>444000</v>
      </c>
      <c r="G28" s="9">
        <v>72000</v>
      </c>
      <c r="H28" s="9">
        <v>763000</v>
      </c>
      <c r="I28" s="9">
        <v>144000</v>
      </c>
      <c r="J28" s="9">
        <v>2408000</v>
      </c>
      <c r="K28" s="9">
        <v>353000</v>
      </c>
      <c r="L28" s="9">
        <v>305000</v>
      </c>
      <c r="M28" s="9">
        <v>489000</v>
      </c>
      <c r="N28" s="9">
        <v>193000</v>
      </c>
      <c r="O28" s="13" t="s">
        <v>220</v>
      </c>
      <c r="P28" s="9">
        <v>296000</v>
      </c>
      <c r="Q28" s="9">
        <v>51000</v>
      </c>
    </row>
    <row r="29" spans="1:17" ht="12.45" customHeight="1">
      <c r="A29" s="10" t="s">
        <v>283</v>
      </c>
      <c r="B29" s="9">
        <v>3859000</v>
      </c>
      <c r="C29" s="9">
        <v>3305000</v>
      </c>
      <c r="D29" s="9">
        <v>2971000</v>
      </c>
      <c r="E29" s="9">
        <v>334000</v>
      </c>
      <c r="F29" s="9">
        <v>986000</v>
      </c>
      <c r="G29" s="9">
        <v>95000</v>
      </c>
      <c r="H29" s="9">
        <v>426000</v>
      </c>
      <c r="I29" s="9">
        <v>57000</v>
      </c>
      <c r="J29" s="9">
        <v>1560000</v>
      </c>
      <c r="K29" s="9">
        <v>182000</v>
      </c>
      <c r="L29" s="9">
        <v>287000</v>
      </c>
      <c r="M29" s="9">
        <v>267000</v>
      </c>
      <c r="N29" s="9">
        <v>174000</v>
      </c>
      <c r="O29" s="13" t="s">
        <v>220</v>
      </c>
      <c r="P29" s="9">
        <v>93000</v>
      </c>
      <c r="Q29" s="9">
        <v>60000</v>
      </c>
    </row>
    <row r="30" spans="1:17" ht="12.45" customHeight="1">
      <c r="A30" s="10" t="s">
        <v>265</v>
      </c>
      <c r="B30" s="9">
        <v>1196000</v>
      </c>
      <c r="C30" s="9">
        <v>992000</v>
      </c>
      <c r="D30" s="9">
        <v>834000</v>
      </c>
      <c r="E30" s="9">
        <v>158000</v>
      </c>
      <c r="F30" s="9">
        <v>158000</v>
      </c>
      <c r="G30" s="9">
        <v>25000</v>
      </c>
      <c r="H30" s="9">
        <v>122000</v>
      </c>
      <c r="I30" s="9">
        <v>30000</v>
      </c>
      <c r="J30" s="9">
        <v>554000</v>
      </c>
      <c r="K30" s="9">
        <v>103000</v>
      </c>
      <c r="L30" s="9">
        <v>109000</v>
      </c>
      <c r="M30" s="9">
        <v>95000</v>
      </c>
      <c r="N30" s="9">
        <v>41000</v>
      </c>
      <c r="O30" s="13" t="s">
        <v>220</v>
      </c>
      <c r="P30" s="9">
        <v>54000</v>
      </c>
      <c r="Q30" s="9">
        <v>50000</v>
      </c>
    </row>
    <row r="31" spans="1:17" ht="12.45" customHeight="1">
      <c r="A31" s="10" t="s">
        <v>266</v>
      </c>
      <c r="B31" s="53"/>
      <c r="C31" s="53"/>
      <c r="D31" s="53"/>
      <c r="E31" s="53"/>
      <c r="F31" s="53"/>
      <c r="G31" s="53"/>
      <c r="H31" s="53"/>
      <c r="I31" s="53"/>
      <c r="J31" s="53"/>
      <c r="K31" s="53"/>
      <c r="L31" s="53"/>
      <c r="M31" s="53"/>
      <c r="N31" s="53"/>
      <c r="O31" s="53"/>
      <c r="P31" s="53"/>
      <c r="Q31" s="53"/>
    </row>
    <row r="32" spans="1:17" ht="12.45" customHeight="1">
      <c r="A32" s="12" t="s">
        <v>270</v>
      </c>
      <c r="B32" s="9">
        <v>37000</v>
      </c>
      <c r="C32" s="13" t="s">
        <v>191</v>
      </c>
      <c r="D32" s="13" t="s">
        <v>191</v>
      </c>
      <c r="E32" s="13" t="s">
        <v>220</v>
      </c>
      <c r="F32" s="13" t="s">
        <v>191</v>
      </c>
      <c r="G32" s="13" t="s">
        <v>220</v>
      </c>
      <c r="H32" s="13" t="s">
        <v>191</v>
      </c>
      <c r="I32" s="13" t="s">
        <v>220</v>
      </c>
      <c r="J32" s="13" t="s">
        <v>191</v>
      </c>
      <c r="K32" s="13" t="s">
        <v>220</v>
      </c>
      <c r="L32" s="13" t="s">
        <v>220</v>
      </c>
      <c r="M32" s="13" t="s">
        <v>220</v>
      </c>
      <c r="N32" s="13" t="s">
        <v>220</v>
      </c>
      <c r="O32" s="13" t="s">
        <v>220</v>
      </c>
      <c r="P32" s="13" t="s">
        <v>220</v>
      </c>
      <c r="Q32" s="13" t="s">
        <v>191</v>
      </c>
    </row>
    <row r="33" spans="1:17" ht="12.45" customHeight="1">
      <c r="A33" s="12" t="s">
        <v>271</v>
      </c>
      <c r="B33" s="9">
        <v>1124000</v>
      </c>
      <c r="C33" s="9">
        <v>901000</v>
      </c>
      <c r="D33" s="9">
        <v>771000</v>
      </c>
      <c r="E33" s="9">
        <v>130000</v>
      </c>
      <c r="F33" s="9">
        <v>301000</v>
      </c>
      <c r="G33" s="9">
        <v>53000</v>
      </c>
      <c r="H33" s="9">
        <v>145000</v>
      </c>
      <c r="I33" s="9">
        <v>36000</v>
      </c>
      <c r="J33" s="9">
        <v>324000</v>
      </c>
      <c r="K33" s="9">
        <v>42000</v>
      </c>
      <c r="L33" s="9">
        <v>88000</v>
      </c>
      <c r="M33" s="9">
        <v>135000</v>
      </c>
      <c r="N33" s="9">
        <v>84000</v>
      </c>
      <c r="O33" s="13" t="s">
        <v>220</v>
      </c>
      <c r="P33" s="9">
        <v>50000</v>
      </c>
      <c r="Q33" s="9">
        <v>67000</v>
      </c>
    </row>
    <row r="34" spans="1:17" ht="12.45" customHeight="1">
      <c r="A34" s="12" t="s">
        <v>272</v>
      </c>
      <c r="B34" s="9">
        <v>645000</v>
      </c>
      <c r="C34" s="9">
        <v>526000</v>
      </c>
      <c r="D34" s="9">
        <v>459000</v>
      </c>
      <c r="E34" s="9">
        <v>66000</v>
      </c>
      <c r="F34" s="9">
        <v>61000</v>
      </c>
      <c r="G34" s="9">
        <v>5000</v>
      </c>
      <c r="H34" s="9">
        <v>76000</v>
      </c>
      <c r="I34" s="9">
        <v>14000</v>
      </c>
      <c r="J34" s="9">
        <v>323000</v>
      </c>
      <c r="K34" s="9">
        <v>48000</v>
      </c>
      <c r="L34" s="9">
        <v>66000</v>
      </c>
      <c r="M34" s="9">
        <v>54000</v>
      </c>
      <c r="N34" s="9">
        <v>24000</v>
      </c>
      <c r="O34" s="13" t="s">
        <v>220</v>
      </c>
      <c r="P34" s="9">
        <v>29000</v>
      </c>
      <c r="Q34" s="9">
        <v>46000</v>
      </c>
    </row>
    <row r="35" spans="1:17" ht="12.45" customHeight="1">
      <c r="A35" s="12" t="s">
        <v>273</v>
      </c>
      <c r="B35" s="9">
        <v>12000</v>
      </c>
      <c r="C35" s="9">
        <v>10000</v>
      </c>
      <c r="D35" s="9">
        <v>9000</v>
      </c>
      <c r="E35" s="13" t="s">
        <v>220</v>
      </c>
      <c r="F35" s="9">
        <v>4000</v>
      </c>
      <c r="G35" s="13" t="s">
        <v>220</v>
      </c>
      <c r="H35" s="9">
        <v>2000</v>
      </c>
      <c r="I35" s="13" t="s">
        <v>220</v>
      </c>
      <c r="J35" s="13" t="s">
        <v>191</v>
      </c>
      <c r="K35" s="13" t="s">
        <v>220</v>
      </c>
      <c r="L35" s="13" t="s">
        <v>220</v>
      </c>
      <c r="M35" s="13" t="s">
        <v>220</v>
      </c>
      <c r="N35" s="13" t="s">
        <v>220</v>
      </c>
      <c r="O35" s="13" t="s">
        <v>220</v>
      </c>
      <c r="P35" s="13" t="s">
        <v>220</v>
      </c>
      <c r="Q35" s="9">
        <v>52000</v>
      </c>
    </row>
    <row r="36" spans="1:17" ht="12.45" customHeight="1">
      <c r="A36" s="12" t="s">
        <v>274</v>
      </c>
      <c r="B36" s="9">
        <v>5512000</v>
      </c>
      <c r="C36" s="9">
        <v>4752000</v>
      </c>
      <c r="D36" s="9">
        <v>4250000</v>
      </c>
      <c r="E36" s="9">
        <v>502000</v>
      </c>
      <c r="F36" s="9">
        <v>850000</v>
      </c>
      <c r="G36" s="9">
        <v>82000</v>
      </c>
      <c r="H36" s="9">
        <v>808000</v>
      </c>
      <c r="I36" s="9">
        <v>112000</v>
      </c>
      <c r="J36" s="9">
        <v>2592000</v>
      </c>
      <c r="K36" s="9">
        <v>308000</v>
      </c>
      <c r="L36" s="9">
        <v>309000</v>
      </c>
      <c r="M36" s="9">
        <v>451000</v>
      </c>
      <c r="N36" s="9">
        <v>205000</v>
      </c>
      <c r="O36" s="13" t="s">
        <v>220</v>
      </c>
      <c r="P36" s="9">
        <v>246000</v>
      </c>
      <c r="Q36" s="9">
        <v>55000</v>
      </c>
    </row>
    <row r="37" spans="1:17" ht="12.45" customHeight="1">
      <c r="A37" s="12" t="s">
        <v>275</v>
      </c>
      <c r="B37" s="9">
        <v>310000</v>
      </c>
      <c r="C37" s="9">
        <v>275000</v>
      </c>
      <c r="D37" s="9">
        <v>233000</v>
      </c>
      <c r="E37" s="9">
        <v>42000</v>
      </c>
      <c r="F37" s="9">
        <v>52000</v>
      </c>
      <c r="G37" s="9">
        <v>3000</v>
      </c>
      <c r="H37" s="9">
        <v>32000</v>
      </c>
      <c r="I37" s="9">
        <v>9000</v>
      </c>
      <c r="J37" s="9">
        <v>149000</v>
      </c>
      <c r="K37" s="9">
        <v>30000</v>
      </c>
      <c r="L37" s="9">
        <v>17000</v>
      </c>
      <c r="M37" s="9">
        <v>19000</v>
      </c>
      <c r="N37" s="9">
        <v>11000</v>
      </c>
      <c r="O37" s="13" t="s">
        <v>220</v>
      </c>
      <c r="P37" s="9">
        <v>8000</v>
      </c>
      <c r="Q37" s="9">
        <v>59000</v>
      </c>
    </row>
    <row r="38" spans="1:17" ht="12.45" customHeight="1">
      <c r="A38" s="10" t="s">
        <v>267</v>
      </c>
      <c r="B38" s="9">
        <v>7886000</v>
      </c>
      <c r="C38" s="9">
        <v>6742000</v>
      </c>
      <c r="D38" s="9">
        <v>5948000</v>
      </c>
      <c r="E38" s="9">
        <v>794000</v>
      </c>
      <c r="F38" s="9">
        <v>1319000</v>
      </c>
      <c r="G38" s="9">
        <v>155000</v>
      </c>
      <c r="H38" s="9">
        <v>1098000</v>
      </c>
      <c r="I38" s="9">
        <v>186000</v>
      </c>
      <c r="J38" s="9">
        <v>3531000</v>
      </c>
      <c r="K38" s="9">
        <v>453000</v>
      </c>
      <c r="L38" s="9">
        <v>523000</v>
      </c>
      <c r="M38" s="9">
        <v>621000</v>
      </c>
      <c r="N38" s="9">
        <v>329000</v>
      </c>
      <c r="O38" s="13" t="s">
        <v>220</v>
      </c>
      <c r="P38" s="9">
        <v>291000</v>
      </c>
      <c r="Q38" s="9">
        <v>56000</v>
      </c>
    </row>
    <row r="39" spans="1:17" ht="12.45" customHeight="1">
      <c r="A39" s="10" t="s">
        <v>268</v>
      </c>
      <c r="B39" s="9">
        <v>951000</v>
      </c>
      <c r="C39" s="9">
        <v>747000</v>
      </c>
      <c r="D39" s="9">
        <v>638000</v>
      </c>
      <c r="E39" s="9">
        <v>109000</v>
      </c>
      <c r="F39" s="9">
        <v>111000</v>
      </c>
      <c r="G39" s="9">
        <v>13000</v>
      </c>
      <c r="H39" s="9">
        <v>91000</v>
      </c>
      <c r="I39" s="9">
        <v>15000</v>
      </c>
      <c r="J39" s="9">
        <v>436000</v>
      </c>
      <c r="K39" s="9">
        <v>81000</v>
      </c>
      <c r="L39" s="9">
        <v>69000</v>
      </c>
      <c r="M39" s="9">
        <v>135000</v>
      </c>
      <c r="N39" s="9">
        <v>37000</v>
      </c>
      <c r="O39" s="13" t="s">
        <v>220</v>
      </c>
      <c r="P39" s="9">
        <v>98000</v>
      </c>
      <c r="Q39" s="9">
        <v>48000</v>
      </c>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1" t="s">
        <v>444</v>
      </c>
      <c r="B1" s="321"/>
      <c r="C1" s="321"/>
      <c r="D1" s="321"/>
      <c r="E1" s="321"/>
      <c r="F1" s="321"/>
      <c r="G1" s="321"/>
      <c r="H1" s="321"/>
      <c r="I1" s="321"/>
      <c r="J1" s="321"/>
      <c r="K1" s="321"/>
      <c r="L1" s="321"/>
      <c r="M1" s="321"/>
      <c r="N1" s="321"/>
      <c r="O1" s="321"/>
      <c r="P1" s="321"/>
      <c r="Q1" s="321"/>
      <c r="R1" s="321"/>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18" t="s">
        <v>457</v>
      </c>
      <c r="B5" s="77"/>
      <c r="C5" s="77"/>
      <c r="D5" s="77"/>
      <c r="E5" s="77"/>
      <c r="F5" s="77"/>
      <c r="G5" s="77"/>
      <c r="H5" s="77"/>
      <c r="I5" s="77"/>
      <c r="J5" s="77"/>
      <c r="K5" s="77"/>
      <c r="L5" s="77"/>
      <c r="M5" s="77"/>
      <c r="N5" s="77"/>
      <c r="O5" s="77"/>
      <c r="P5" s="77"/>
      <c r="Q5" s="77"/>
    </row>
    <row r="6" spans="1:18" ht="12.45" customHeight="1">
      <c r="A6" s="15" t="s">
        <v>458</v>
      </c>
      <c r="B6" s="9">
        <v>133000</v>
      </c>
      <c r="C6" s="9">
        <v>78000</v>
      </c>
      <c r="D6" s="9">
        <v>72000</v>
      </c>
      <c r="E6" s="9">
        <v>6000</v>
      </c>
      <c r="F6" s="9">
        <v>17000</v>
      </c>
      <c r="G6" s="9">
        <v>2000</v>
      </c>
      <c r="H6" s="9">
        <v>7000</v>
      </c>
      <c r="I6" s="13" t="s">
        <v>220</v>
      </c>
      <c r="J6" s="9">
        <v>48000</v>
      </c>
      <c r="K6" s="9">
        <v>2000</v>
      </c>
      <c r="L6" s="13" t="s">
        <v>191</v>
      </c>
      <c r="M6" s="9">
        <v>31000</v>
      </c>
      <c r="N6" s="13" t="s">
        <v>191</v>
      </c>
      <c r="O6" s="13" t="s">
        <v>220</v>
      </c>
      <c r="P6" s="13" t="s">
        <v>191</v>
      </c>
      <c r="Q6" s="9">
        <v>55000</v>
      </c>
    </row>
    <row r="7" spans="1:18" ht="12.45" customHeight="1">
      <c r="A7" s="15" t="s">
        <v>459</v>
      </c>
      <c r="B7" s="9">
        <v>213000</v>
      </c>
      <c r="C7" s="9">
        <v>190000</v>
      </c>
      <c r="D7" s="9">
        <v>153000</v>
      </c>
      <c r="E7" s="9">
        <v>37000</v>
      </c>
      <c r="F7" s="9">
        <v>32000</v>
      </c>
      <c r="G7" s="9">
        <v>5000</v>
      </c>
      <c r="H7" s="9">
        <v>21000</v>
      </c>
      <c r="I7" s="13" t="s">
        <v>220</v>
      </c>
      <c r="J7" s="9">
        <v>100000</v>
      </c>
      <c r="K7" s="13" t="s">
        <v>191</v>
      </c>
      <c r="L7" s="9">
        <v>11000</v>
      </c>
      <c r="M7" s="9">
        <v>12000</v>
      </c>
      <c r="N7" s="9">
        <v>5000</v>
      </c>
      <c r="O7" s="13" t="s">
        <v>220</v>
      </c>
      <c r="P7" s="9">
        <v>6000</v>
      </c>
      <c r="Q7" s="9">
        <v>50000</v>
      </c>
    </row>
    <row r="8" spans="1:18" ht="12.45" customHeight="1">
      <c r="A8" s="15" t="s">
        <v>460</v>
      </c>
      <c r="B8" s="9">
        <v>370000</v>
      </c>
      <c r="C8" s="9">
        <v>302000</v>
      </c>
      <c r="D8" s="9">
        <v>248000</v>
      </c>
      <c r="E8" s="9">
        <v>54000</v>
      </c>
      <c r="F8" s="9">
        <v>46000</v>
      </c>
      <c r="G8" s="9">
        <v>3000</v>
      </c>
      <c r="H8" s="9">
        <v>40000</v>
      </c>
      <c r="I8" s="9">
        <v>10000</v>
      </c>
      <c r="J8" s="9">
        <v>162000</v>
      </c>
      <c r="K8" s="9">
        <v>41000</v>
      </c>
      <c r="L8" s="9">
        <v>12000</v>
      </c>
      <c r="M8" s="9">
        <v>55000</v>
      </c>
      <c r="N8" s="9">
        <v>25000</v>
      </c>
      <c r="O8" s="13" t="s">
        <v>220</v>
      </c>
      <c r="P8" s="13" t="s">
        <v>191</v>
      </c>
      <c r="Q8" s="9">
        <v>43000</v>
      </c>
    </row>
    <row r="9" spans="1:18" ht="12.45" customHeight="1">
      <c r="A9" s="15" t="s">
        <v>461</v>
      </c>
      <c r="B9" s="9">
        <v>235000</v>
      </c>
      <c r="C9" s="9">
        <v>176000</v>
      </c>
      <c r="D9" s="9">
        <v>166000</v>
      </c>
      <c r="E9" s="9">
        <v>11000</v>
      </c>
      <c r="F9" s="9">
        <v>16000</v>
      </c>
      <c r="G9" s="9">
        <v>3000</v>
      </c>
      <c r="H9" s="9">
        <v>23000</v>
      </c>
      <c r="I9" s="13" t="s">
        <v>191</v>
      </c>
      <c r="J9" s="9">
        <v>126000</v>
      </c>
      <c r="K9" s="9">
        <v>6000</v>
      </c>
      <c r="L9" s="9">
        <v>22000</v>
      </c>
      <c r="M9" s="9">
        <v>37000</v>
      </c>
      <c r="N9" s="9">
        <v>5000</v>
      </c>
      <c r="O9" s="13" t="s">
        <v>220</v>
      </c>
      <c r="P9" s="9">
        <v>31000</v>
      </c>
      <c r="Q9" s="9">
        <v>48000</v>
      </c>
    </row>
    <row r="10" spans="1:18" ht="12.45" customHeight="1">
      <c r="A10" s="8" t="s">
        <v>324</v>
      </c>
      <c r="B10" s="9">
        <v>16205000</v>
      </c>
      <c r="C10" s="9">
        <v>14111000</v>
      </c>
      <c r="D10" s="9">
        <v>12566000</v>
      </c>
      <c r="E10" s="9">
        <v>1545000</v>
      </c>
      <c r="F10" s="9">
        <v>2351000</v>
      </c>
      <c r="G10" s="9">
        <v>130000</v>
      </c>
      <c r="H10" s="9">
        <v>2366000</v>
      </c>
      <c r="I10" s="9">
        <v>436000</v>
      </c>
      <c r="J10" s="9">
        <v>7849000</v>
      </c>
      <c r="K10" s="9">
        <v>979000</v>
      </c>
      <c r="L10" s="9">
        <v>815000</v>
      </c>
      <c r="M10" s="9">
        <v>1279000</v>
      </c>
      <c r="N10" s="9">
        <v>130000</v>
      </c>
      <c r="O10" s="9">
        <v>20000</v>
      </c>
      <c r="P10" s="9">
        <v>1130000</v>
      </c>
      <c r="Q10" s="9">
        <v>75000</v>
      </c>
    </row>
    <row r="11" spans="1:18" ht="12.45" customHeight="1">
      <c r="A11" s="10" t="s">
        <v>282</v>
      </c>
      <c r="B11" s="9">
        <v>8920000</v>
      </c>
      <c r="C11" s="9">
        <v>7382000</v>
      </c>
      <c r="D11" s="9">
        <v>6284000</v>
      </c>
      <c r="E11" s="9">
        <v>1098000</v>
      </c>
      <c r="F11" s="9">
        <v>649000</v>
      </c>
      <c r="G11" s="9">
        <v>75000</v>
      </c>
      <c r="H11" s="9">
        <v>1350000</v>
      </c>
      <c r="I11" s="9">
        <v>347000</v>
      </c>
      <c r="J11" s="9">
        <v>4284000</v>
      </c>
      <c r="K11" s="9">
        <v>676000</v>
      </c>
      <c r="L11" s="9">
        <v>458000</v>
      </c>
      <c r="M11" s="9">
        <v>1080000</v>
      </c>
      <c r="N11" s="9">
        <v>78000</v>
      </c>
      <c r="O11" s="9">
        <v>19000</v>
      </c>
      <c r="P11" s="9">
        <v>983000</v>
      </c>
      <c r="Q11" s="9">
        <v>66000</v>
      </c>
    </row>
    <row r="12" spans="1:18" ht="12.45" customHeight="1">
      <c r="A12" s="10" t="s">
        <v>283</v>
      </c>
      <c r="B12" s="9">
        <v>7285000</v>
      </c>
      <c r="C12" s="9">
        <v>6729000</v>
      </c>
      <c r="D12" s="9">
        <v>6282000</v>
      </c>
      <c r="E12" s="9">
        <v>447000</v>
      </c>
      <c r="F12" s="9">
        <v>1702000</v>
      </c>
      <c r="G12" s="9">
        <v>55000</v>
      </c>
      <c r="H12" s="9">
        <v>1016000</v>
      </c>
      <c r="I12" s="9">
        <v>89000</v>
      </c>
      <c r="J12" s="9">
        <v>3564000</v>
      </c>
      <c r="K12" s="9">
        <v>303000</v>
      </c>
      <c r="L12" s="9">
        <v>357000</v>
      </c>
      <c r="M12" s="9">
        <v>200000</v>
      </c>
      <c r="N12" s="9">
        <v>52000</v>
      </c>
      <c r="O12" s="13" t="s">
        <v>191</v>
      </c>
      <c r="P12" s="9">
        <v>146000</v>
      </c>
      <c r="Q12" s="9">
        <v>85000</v>
      </c>
    </row>
    <row r="13" spans="1:18" ht="12.45" customHeight="1">
      <c r="A13" s="10" t="s">
        <v>265</v>
      </c>
      <c r="B13" s="9">
        <v>1961000</v>
      </c>
      <c r="C13" s="9">
        <v>1679000</v>
      </c>
      <c r="D13" s="9">
        <v>1508000</v>
      </c>
      <c r="E13" s="9">
        <v>171000</v>
      </c>
      <c r="F13" s="9">
        <v>240000</v>
      </c>
      <c r="G13" s="9">
        <v>12000</v>
      </c>
      <c r="H13" s="9">
        <v>232000</v>
      </c>
      <c r="I13" s="9">
        <v>48000</v>
      </c>
      <c r="J13" s="9">
        <v>1036000</v>
      </c>
      <c r="K13" s="9">
        <v>111000</v>
      </c>
      <c r="L13" s="9">
        <v>139000</v>
      </c>
      <c r="M13" s="9">
        <v>142000</v>
      </c>
      <c r="N13" s="9">
        <v>21000</v>
      </c>
      <c r="O13" s="13" t="s">
        <v>220</v>
      </c>
      <c r="P13" s="9">
        <v>121000</v>
      </c>
      <c r="Q13" s="9">
        <v>67000</v>
      </c>
    </row>
    <row r="14" spans="1:18" ht="12.45" customHeight="1">
      <c r="A14" s="10" t="s">
        <v>266</v>
      </c>
      <c r="B14" s="53"/>
      <c r="C14" s="53"/>
      <c r="D14" s="53"/>
      <c r="E14" s="53"/>
      <c r="F14" s="53"/>
      <c r="G14" s="53"/>
      <c r="H14" s="53"/>
      <c r="I14" s="53"/>
      <c r="J14" s="53"/>
      <c r="K14" s="53"/>
      <c r="L14" s="53"/>
      <c r="M14" s="53"/>
      <c r="N14" s="53"/>
      <c r="O14" s="53"/>
      <c r="P14" s="53"/>
      <c r="Q14" s="53"/>
    </row>
    <row r="15" spans="1:18" ht="12.45" customHeight="1">
      <c r="A15" s="12" t="s">
        <v>270</v>
      </c>
      <c r="B15" s="9">
        <v>33000</v>
      </c>
      <c r="C15" s="9">
        <v>22000</v>
      </c>
      <c r="D15" s="9">
        <v>20000</v>
      </c>
      <c r="E15" s="9">
        <v>2000</v>
      </c>
      <c r="F15" s="9">
        <v>2000</v>
      </c>
      <c r="G15" s="13" t="s">
        <v>220</v>
      </c>
      <c r="H15" s="9">
        <v>7000</v>
      </c>
      <c r="I15" s="13" t="s">
        <v>220</v>
      </c>
      <c r="J15" s="9">
        <v>11000</v>
      </c>
      <c r="K15" s="9">
        <v>2000</v>
      </c>
      <c r="L15" s="13" t="s">
        <v>191</v>
      </c>
      <c r="M15" s="13" t="s">
        <v>191</v>
      </c>
      <c r="N15" s="13" t="s">
        <v>220</v>
      </c>
      <c r="O15" s="13" t="s">
        <v>220</v>
      </c>
      <c r="P15" s="13" t="s">
        <v>191</v>
      </c>
      <c r="Q15" s="9">
        <v>56000</v>
      </c>
    </row>
    <row r="16" spans="1:18" ht="12.45" customHeight="1">
      <c r="A16" s="12" t="s">
        <v>271</v>
      </c>
      <c r="B16" s="9">
        <v>2053000</v>
      </c>
      <c r="C16" s="9">
        <v>1725000</v>
      </c>
      <c r="D16" s="9">
        <v>1543000</v>
      </c>
      <c r="E16" s="9">
        <v>182000</v>
      </c>
      <c r="F16" s="9">
        <v>554000</v>
      </c>
      <c r="G16" s="9">
        <v>29000</v>
      </c>
      <c r="H16" s="9">
        <v>312000</v>
      </c>
      <c r="I16" s="9">
        <v>55000</v>
      </c>
      <c r="J16" s="9">
        <v>677000</v>
      </c>
      <c r="K16" s="9">
        <v>98000</v>
      </c>
      <c r="L16" s="9">
        <v>102000</v>
      </c>
      <c r="M16" s="9">
        <v>226000</v>
      </c>
      <c r="N16" s="9">
        <v>35000</v>
      </c>
      <c r="O16" s="13" t="s">
        <v>220</v>
      </c>
      <c r="P16" s="9">
        <v>190000</v>
      </c>
      <c r="Q16" s="9">
        <v>95000</v>
      </c>
    </row>
    <row r="17" spans="1:17" ht="12.45" customHeight="1">
      <c r="A17" s="12" t="s">
        <v>272</v>
      </c>
      <c r="B17" s="9">
        <v>1183000</v>
      </c>
      <c r="C17" s="9">
        <v>1032000</v>
      </c>
      <c r="D17" s="9">
        <v>920000</v>
      </c>
      <c r="E17" s="9">
        <v>112000</v>
      </c>
      <c r="F17" s="9">
        <v>111000</v>
      </c>
      <c r="G17" s="9">
        <v>11000</v>
      </c>
      <c r="H17" s="9">
        <v>179000</v>
      </c>
      <c r="I17" s="9">
        <v>26000</v>
      </c>
      <c r="J17" s="9">
        <v>630000</v>
      </c>
      <c r="K17" s="9">
        <v>76000</v>
      </c>
      <c r="L17" s="9">
        <v>88000</v>
      </c>
      <c r="M17" s="9">
        <v>62000</v>
      </c>
      <c r="N17" s="9">
        <v>6000</v>
      </c>
      <c r="O17" s="13" t="s">
        <v>220</v>
      </c>
      <c r="P17" s="9">
        <v>54000</v>
      </c>
      <c r="Q17" s="9">
        <v>60000</v>
      </c>
    </row>
    <row r="18" spans="1:17" ht="12.45" customHeight="1">
      <c r="A18" s="78" t="s">
        <v>273</v>
      </c>
      <c r="B18" s="9">
        <v>34000</v>
      </c>
      <c r="C18" s="9">
        <v>33000</v>
      </c>
      <c r="D18" s="9">
        <v>31000</v>
      </c>
      <c r="E18" s="9">
        <v>2000</v>
      </c>
      <c r="F18" s="9">
        <v>5000</v>
      </c>
      <c r="G18" s="13" t="s">
        <v>220</v>
      </c>
      <c r="H18" s="9">
        <v>2000</v>
      </c>
      <c r="I18" s="13" t="s">
        <v>220</v>
      </c>
      <c r="J18" s="9">
        <v>24000</v>
      </c>
      <c r="K18" s="13" t="s">
        <v>220</v>
      </c>
      <c r="L18" s="13" t="s">
        <v>220</v>
      </c>
      <c r="M18" s="13" t="s">
        <v>220</v>
      </c>
      <c r="N18" s="13" t="s">
        <v>220</v>
      </c>
      <c r="O18" s="13" t="s">
        <v>220</v>
      </c>
      <c r="P18" s="13" t="s">
        <v>220</v>
      </c>
      <c r="Q18" s="13" t="s">
        <v>191</v>
      </c>
    </row>
    <row r="19" spans="1:17" ht="12.45" customHeight="1">
      <c r="A19" s="12" t="s">
        <v>274</v>
      </c>
      <c r="B19" s="9">
        <v>10492000</v>
      </c>
      <c r="C19" s="9">
        <v>9222000</v>
      </c>
      <c r="D19" s="9">
        <v>8186000</v>
      </c>
      <c r="E19" s="9">
        <v>1036000</v>
      </c>
      <c r="F19" s="9">
        <v>1390000</v>
      </c>
      <c r="G19" s="9">
        <v>75000</v>
      </c>
      <c r="H19" s="9">
        <v>1577000</v>
      </c>
      <c r="I19" s="9">
        <v>302000</v>
      </c>
      <c r="J19" s="9">
        <v>5219000</v>
      </c>
      <c r="K19" s="9">
        <v>658000</v>
      </c>
      <c r="L19" s="9">
        <v>457000</v>
      </c>
      <c r="M19" s="9">
        <v>813000</v>
      </c>
      <c r="N19" s="9">
        <v>66000</v>
      </c>
      <c r="O19" s="13" t="s">
        <v>191</v>
      </c>
      <c r="P19" s="9">
        <v>731000</v>
      </c>
      <c r="Q19" s="9">
        <v>75000</v>
      </c>
    </row>
    <row r="20" spans="1:17" ht="12.45" customHeight="1">
      <c r="A20" s="12" t="s">
        <v>275</v>
      </c>
      <c r="B20" s="9">
        <v>449000</v>
      </c>
      <c r="C20" s="9">
        <v>397000</v>
      </c>
      <c r="D20" s="9">
        <v>359000</v>
      </c>
      <c r="E20" s="9">
        <v>38000</v>
      </c>
      <c r="F20" s="9">
        <v>49000</v>
      </c>
      <c r="G20" s="9">
        <v>2000</v>
      </c>
      <c r="H20" s="9">
        <v>58000</v>
      </c>
      <c r="I20" s="9">
        <v>4000</v>
      </c>
      <c r="J20" s="9">
        <v>252000</v>
      </c>
      <c r="K20" s="9">
        <v>32000</v>
      </c>
      <c r="L20" s="9">
        <v>19000</v>
      </c>
      <c r="M20" s="9">
        <v>32000</v>
      </c>
      <c r="N20" s="9">
        <v>2000</v>
      </c>
      <c r="O20" s="13" t="s">
        <v>220</v>
      </c>
      <c r="P20" s="9">
        <v>31000</v>
      </c>
      <c r="Q20" s="9">
        <v>85000</v>
      </c>
    </row>
    <row r="21" spans="1:17" ht="12.45" customHeight="1">
      <c r="A21" s="10" t="s">
        <v>267</v>
      </c>
      <c r="B21" s="9">
        <v>14740000</v>
      </c>
      <c r="C21" s="9">
        <v>12910000</v>
      </c>
      <c r="D21" s="9">
        <v>11559000</v>
      </c>
      <c r="E21" s="9">
        <v>1351000</v>
      </c>
      <c r="F21" s="9">
        <v>2122000</v>
      </c>
      <c r="G21" s="9">
        <v>111000</v>
      </c>
      <c r="H21" s="9">
        <v>2190000</v>
      </c>
      <c r="I21" s="9">
        <v>387000</v>
      </c>
      <c r="J21" s="9">
        <v>7247000</v>
      </c>
      <c r="K21" s="9">
        <v>853000</v>
      </c>
      <c r="L21" s="9">
        <v>650000</v>
      </c>
      <c r="M21" s="9">
        <v>1180000</v>
      </c>
      <c r="N21" s="9">
        <v>117000</v>
      </c>
      <c r="O21" s="13" t="s">
        <v>191</v>
      </c>
      <c r="P21" s="9">
        <v>1049000</v>
      </c>
      <c r="Q21" s="9">
        <v>75000</v>
      </c>
    </row>
    <row r="22" spans="1:17" ht="12.45" customHeight="1">
      <c r="A22" s="10" t="s">
        <v>268</v>
      </c>
      <c r="B22" s="9">
        <v>1465000</v>
      </c>
      <c r="C22" s="9">
        <v>1200000</v>
      </c>
      <c r="D22" s="9">
        <v>1007000</v>
      </c>
      <c r="E22" s="9">
        <v>193000</v>
      </c>
      <c r="F22" s="9">
        <v>229000</v>
      </c>
      <c r="G22" s="9">
        <v>19000</v>
      </c>
      <c r="H22" s="9">
        <v>176000</v>
      </c>
      <c r="I22" s="9">
        <v>48000</v>
      </c>
      <c r="J22" s="9">
        <v>602000</v>
      </c>
      <c r="K22" s="9">
        <v>126000</v>
      </c>
      <c r="L22" s="9">
        <v>165000</v>
      </c>
      <c r="M22" s="9">
        <v>99000</v>
      </c>
      <c r="N22" s="9">
        <v>13000</v>
      </c>
      <c r="O22" s="13" t="s">
        <v>191</v>
      </c>
      <c r="P22" s="9">
        <v>81000</v>
      </c>
      <c r="Q22" s="9">
        <v>65000</v>
      </c>
    </row>
    <row r="23" spans="1:17" ht="12.45" customHeight="1">
      <c r="A23" s="12" t="s">
        <v>457</v>
      </c>
      <c r="B23" s="53"/>
      <c r="C23" s="53"/>
      <c r="D23" s="53"/>
      <c r="E23" s="53"/>
      <c r="F23" s="53"/>
      <c r="G23" s="53"/>
      <c r="H23" s="53"/>
      <c r="I23" s="53"/>
      <c r="J23" s="53"/>
      <c r="K23" s="53"/>
      <c r="L23" s="53"/>
      <c r="M23" s="53"/>
      <c r="N23" s="53"/>
      <c r="O23" s="53"/>
      <c r="P23" s="53"/>
      <c r="Q23" s="53"/>
    </row>
    <row r="24" spans="1:17" ht="12.45" customHeight="1">
      <c r="A24" s="15" t="s">
        <v>458</v>
      </c>
      <c r="B24" s="9">
        <v>218000</v>
      </c>
      <c r="C24" s="9">
        <v>197000</v>
      </c>
      <c r="D24" s="9">
        <v>165000</v>
      </c>
      <c r="E24" s="9">
        <v>32000</v>
      </c>
      <c r="F24" s="9">
        <v>39000</v>
      </c>
      <c r="G24" s="13" t="s">
        <v>191</v>
      </c>
      <c r="H24" s="9">
        <v>23000</v>
      </c>
      <c r="I24" s="13" t="s">
        <v>191</v>
      </c>
      <c r="J24" s="9">
        <v>103000</v>
      </c>
      <c r="K24" s="9">
        <v>20000</v>
      </c>
      <c r="L24" s="9">
        <v>8000</v>
      </c>
      <c r="M24" s="9">
        <v>13000</v>
      </c>
      <c r="N24" s="13" t="s">
        <v>191</v>
      </c>
      <c r="O24" s="13" t="s">
        <v>220</v>
      </c>
      <c r="P24" s="9">
        <v>5000</v>
      </c>
      <c r="Q24" s="9">
        <v>64000</v>
      </c>
    </row>
    <row r="25" spans="1:17" ht="12.45" customHeight="1">
      <c r="A25" s="15" t="s">
        <v>459</v>
      </c>
      <c r="B25" s="9">
        <v>289000</v>
      </c>
      <c r="C25" s="9">
        <v>199000</v>
      </c>
      <c r="D25" s="9">
        <v>151000</v>
      </c>
      <c r="E25" s="9">
        <v>48000</v>
      </c>
      <c r="F25" s="9">
        <v>44000</v>
      </c>
      <c r="G25" s="9">
        <v>7000</v>
      </c>
      <c r="H25" s="9">
        <v>26000</v>
      </c>
      <c r="I25" s="13" t="s">
        <v>191</v>
      </c>
      <c r="J25" s="9">
        <v>81000</v>
      </c>
      <c r="K25" s="9">
        <v>33000</v>
      </c>
      <c r="L25" s="9">
        <v>71000</v>
      </c>
      <c r="M25" s="9">
        <v>19000</v>
      </c>
      <c r="N25" s="13" t="s">
        <v>191</v>
      </c>
      <c r="O25" s="13" t="s">
        <v>220</v>
      </c>
      <c r="P25" s="9">
        <v>15000</v>
      </c>
      <c r="Q25" s="9">
        <v>54000</v>
      </c>
    </row>
    <row r="26" spans="1:17" ht="12.45" customHeight="1">
      <c r="A26" s="15" t="s">
        <v>460</v>
      </c>
      <c r="B26" s="9">
        <v>388000</v>
      </c>
      <c r="C26" s="9">
        <v>316000</v>
      </c>
      <c r="D26" s="9">
        <v>265000</v>
      </c>
      <c r="E26" s="9">
        <v>51000</v>
      </c>
      <c r="F26" s="9">
        <v>65000</v>
      </c>
      <c r="G26" s="9">
        <v>3000</v>
      </c>
      <c r="H26" s="9">
        <v>56000</v>
      </c>
      <c r="I26" s="9">
        <v>16000</v>
      </c>
      <c r="J26" s="9">
        <v>144000</v>
      </c>
      <c r="K26" s="9">
        <v>32000</v>
      </c>
      <c r="L26" s="9">
        <v>35000</v>
      </c>
      <c r="M26" s="9">
        <v>37000</v>
      </c>
      <c r="N26" s="9">
        <v>3000</v>
      </c>
      <c r="O26" s="13" t="s">
        <v>220</v>
      </c>
      <c r="P26" s="9">
        <v>31000</v>
      </c>
      <c r="Q26" s="9">
        <v>66000</v>
      </c>
    </row>
    <row r="27" spans="1:17" ht="12.45" customHeight="1">
      <c r="A27" s="15" t="s">
        <v>461</v>
      </c>
      <c r="B27" s="9">
        <v>345000</v>
      </c>
      <c r="C27" s="9">
        <v>294000</v>
      </c>
      <c r="D27" s="9">
        <v>266000</v>
      </c>
      <c r="E27" s="9">
        <v>28000</v>
      </c>
      <c r="F27" s="9">
        <v>45000</v>
      </c>
      <c r="G27" s="13" t="s">
        <v>191</v>
      </c>
      <c r="H27" s="9">
        <v>39000</v>
      </c>
      <c r="I27" s="13" t="s">
        <v>191</v>
      </c>
      <c r="J27" s="9">
        <v>182000</v>
      </c>
      <c r="K27" s="9">
        <v>18000</v>
      </c>
      <c r="L27" s="9">
        <v>28000</v>
      </c>
      <c r="M27" s="9">
        <v>24000</v>
      </c>
      <c r="N27" s="13" t="s">
        <v>191</v>
      </c>
      <c r="O27" s="13" t="s">
        <v>220</v>
      </c>
      <c r="P27" s="9">
        <v>23000</v>
      </c>
      <c r="Q27" s="9">
        <v>75000</v>
      </c>
    </row>
    <row r="28" spans="1:17" ht="12.45" customHeight="1">
      <c r="A28" s="15" t="s">
        <v>324</v>
      </c>
      <c r="B28" s="9">
        <v>225000</v>
      </c>
      <c r="C28" s="9">
        <v>194000</v>
      </c>
      <c r="D28" s="9">
        <v>160000</v>
      </c>
      <c r="E28" s="9">
        <v>34000</v>
      </c>
      <c r="F28" s="9">
        <v>37000</v>
      </c>
      <c r="G28" s="13" t="s">
        <v>191</v>
      </c>
      <c r="H28" s="9">
        <v>31000</v>
      </c>
      <c r="I28" s="13" t="s">
        <v>220</v>
      </c>
      <c r="J28" s="9">
        <v>92000</v>
      </c>
      <c r="K28" s="9">
        <v>23000</v>
      </c>
      <c r="L28" s="9">
        <v>25000</v>
      </c>
      <c r="M28" s="13" t="s">
        <v>191</v>
      </c>
      <c r="N28" s="13" t="s">
        <v>220</v>
      </c>
      <c r="O28" s="13" t="s">
        <v>220</v>
      </c>
      <c r="P28" s="13" t="s">
        <v>191</v>
      </c>
      <c r="Q28" s="9">
        <v>58000</v>
      </c>
    </row>
    <row r="29" spans="1:17" ht="12.45" customHeight="1">
      <c r="A29" s="8" t="s">
        <v>325</v>
      </c>
      <c r="B29" s="9">
        <v>13858000</v>
      </c>
      <c r="C29" s="9">
        <v>12125000</v>
      </c>
      <c r="D29" s="9">
        <v>10750000</v>
      </c>
      <c r="E29" s="9">
        <v>1374000</v>
      </c>
      <c r="F29" s="9">
        <v>1560000</v>
      </c>
      <c r="G29" s="9">
        <v>94000</v>
      </c>
      <c r="H29" s="9">
        <v>1982000</v>
      </c>
      <c r="I29" s="9">
        <v>300000</v>
      </c>
      <c r="J29" s="9">
        <v>7209000</v>
      </c>
      <c r="K29" s="9">
        <v>980000</v>
      </c>
      <c r="L29" s="9">
        <v>605000</v>
      </c>
      <c r="M29" s="9">
        <v>1129000</v>
      </c>
      <c r="N29" s="9">
        <v>45000</v>
      </c>
      <c r="O29" s="9">
        <v>76000</v>
      </c>
      <c r="P29" s="9">
        <v>1008000</v>
      </c>
      <c r="Q29" s="9">
        <v>85000</v>
      </c>
    </row>
    <row r="30" spans="1:17" ht="12.45" customHeight="1">
      <c r="A30" s="10" t="s">
        <v>282</v>
      </c>
      <c r="B30" s="9">
        <v>7767000</v>
      </c>
      <c r="C30" s="9">
        <v>6466000</v>
      </c>
      <c r="D30" s="9">
        <v>5378000</v>
      </c>
      <c r="E30" s="9">
        <v>1088000</v>
      </c>
      <c r="F30" s="9">
        <v>435000</v>
      </c>
      <c r="G30" s="9">
        <v>59000</v>
      </c>
      <c r="H30" s="9">
        <v>1055000</v>
      </c>
      <c r="I30" s="9">
        <v>245000</v>
      </c>
      <c r="J30" s="9">
        <v>3888000</v>
      </c>
      <c r="K30" s="9">
        <v>784000</v>
      </c>
      <c r="L30" s="9">
        <v>361000</v>
      </c>
      <c r="M30" s="9">
        <v>941000</v>
      </c>
      <c r="N30" s="9">
        <v>34000</v>
      </c>
      <c r="O30" s="9">
        <v>43000</v>
      </c>
      <c r="P30" s="9">
        <v>863000</v>
      </c>
      <c r="Q30" s="9">
        <v>75000</v>
      </c>
    </row>
    <row r="31" spans="1:17" ht="12.45" customHeight="1">
      <c r="A31" s="10" t="s">
        <v>283</v>
      </c>
      <c r="B31" s="9">
        <v>6091000</v>
      </c>
      <c r="C31" s="9">
        <v>5659000</v>
      </c>
      <c r="D31" s="9">
        <v>5373000</v>
      </c>
      <c r="E31" s="9">
        <v>286000</v>
      </c>
      <c r="F31" s="9">
        <v>1125000</v>
      </c>
      <c r="G31" s="9">
        <v>34000</v>
      </c>
      <c r="H31" s="9">
        <v>926000</v>
      </c>
      <c r="I31" s="9">
        <v>55000</v>
      </c>
      <c r="J31" s="9">
        <v>3322000</v>
      </c>
      <c r="K31" s="9">
        <v>196000</v>
      </c>
      <c r="L31" s="9">
        <v>244000</v>
      </c>
      <c r="M31" s="9">
        <v>188000</v>
      </c>
      <c r="N31" s="9">
        <v>11000</v>
      </c>
      <c r="O31" s="9">
        <v>32000</v>
      </c>
      <c r="P31" s="9">
        <v>145000</v>
      </c>
      <c r="Q31" s="9">
        <v>100000</v>
      </c>
    </row>
    <row r="32" spans="1:17" ht="12.45" customHeight="1">
      <c r="A32" s="10" t="s">
        <v>265</v>
      </c>
      <c r="B32" s="9">
        <v>1524000</v>
      </c>
      <c r="C32" s="9">
        <v>1325000</v>
      </c>
      <c r="D32" s="9">
        <v>1165000</v>
      </c>
      <c r="E32" s="9">
        <v>160000</v>
      </c>
      <c r="F32" s="9">
        <v>122000</v>
      </c>
      <c r="G32" s="9">
        <v>8000</v>
      </c>
      <c r="H32" s="9">
        <v>168000</v>
      </c>
      <c r="I32" s="9">
        <v>31000</v>
      </c>
      <c r="J32" s="9">
        <v>875000</v>
      </c>
      <c r="K32" s="9">
        <v>121000</v>
      </c>
      <c r="L32" s="9">
        <v>89000</v>
      </c>
      <c r="M32" s="9">
        <v>110000</v>
      </c>
      <c r="N32" s="13" t="s">
        <v>191</v>
      </c>
      <c r="O32" s="9">
        <v>3000</v>
      </c>
      <c r="P32" s="9">
        <v>102000</v>
      </c>
      <c r="Q32" s="9">
        <v>80000</v>
      </c>
    </row>
    <row r="33" spans="1:17" ht="12.45" customHeight="1">
      <c r="A33" s="10" t="s">
        <v>266</v>
      </c>
      <c r="B33" s="53"/>
      <c r="C33" s="53"/>
      <c r="D33" s="53"/>
      <c r="E33" s="53"/>
      <c r="F33" s="53"/>
      <c r="G33" s="53"/>
      <c r="H33" s="53"/>
      <c r="I33" s="53"/>
      <c r="J33" s="53"/>
      <c r="K33" s="53"/>
      <c r="L33" s="53"/>
      <c r="M33" s="53"/>
      <c r="N33" s="53"/>
      <c r="O33" s="53"/>
      <c r="P33" s="53"/>
      <c r="Q33" s="53"/>
    </row>
    <row r="34" spans="1:17" ht="12.45" customHeight="1">
      <c r="A34" s="12" t="s">
        <v>270</v>
      </c>
      <c r="B34" s="9">
        <v>20000</v>
      </c>
      <c r="C34" s="9">
        <v>17000</v>
      </c>
      <c r="D34" s="9">
        <v>16000</v>
      </c>
      <c r="E34" s="13" t="s">
        <v>220</v>
      </c>
      <c r="F34" s="9">
        <v>2000</v>
      </c>
      <c r="G34" s="13" t="s">
        <v>220</v>
      </c>
      <c r="H34" s="13" t="s">
        <v>191</v>
      </c>
      <c r="I34" s="13" t="s">
        <v>220</v>
      </c>
      <c r="J34" s="9">
        <v>8000</v>
      </c>
      <c r="K34" s="13" t="s">
        <v>220</v>
      </c>
      <c r="L34" s="13" t="s">
        <v>220</v>
      </c>
      <c r="M34" s="13" t="s">
        <v>220</v>
      </c>
      <c r="N34" s="13" t="s">
        <v>220</v>
      </c>
      <c r="O34" s="13" t="s">
        <v>220</v>
      </c>
      <c r="P34" s="13" t="s">
        <v>220</v>
      </c>
      <c r="Q34" s="9">
        <v>81000</v>
      </c>
    </row>
    <row r="35" spans="1:17" ht="12.45" customHeight="1">
      <c r="A35" s="12" t="s">
        <v>271</v>
      </c>
      <c r="B35" s="9">
        <v>1720000</v>
      </c>
      <c r="C35" s="9">
        <v>1427000</v>
      </c>
      <c r="D35" s="9">
        <v>1260000</v>
      </c>
      <c r="E35" s="9">
        <v>168000</v>
      </c>
      <c r="F35" s="9">
        <v>393000</v>
      </c>
      <c r="G35" s="9">
        <v>20000</v>
      </c>
      <c r="H35" s="9">
        <v>321000</v>
      </c>
      <c r="I35" s="9">
        <v>42000</v>
      </c>
      <c r="J35" s="9">
        <v>545000</v>
      </c>
      <c r="K35" s="9">
        <v>106000</v>
      </c>
      <c r="L35" s="9">
        <v>93000</v>
      </c>
      <c r="M35" s="9">
        <v>199000</v>
      </c>
      <c r="N35" s="9">
        <v>11000</v>
      </c>
      <c r="O35" s="9">
        <v>6000</v>
      </c>
      <c r="P35" s="9">
        <v>183000</v>
      </c>
      <c r="Q35" s="9">
        <v>110000</v>
      </c>
    </row>
    <row r="36" spans="1:17" ht="12.45" customHeight="1">
      <c r="A36" s="12" t="s">
        <v>272</v>
      </c>
      <c r="B36" s="9">
        <v>1246000</v>
      </c>
      <c r="C36" s="9">
        <v>1101000</v>
      </c>
      <c r="D36" s="9">
        <v>982000</v>
      </c>
      <c r="E36" s="9">
        <v>119000</v>
      </c>
      <c r="F36" s="9">
        <v>95000</v>
      </c>
      <c r="G36" s="9">
        <v>4000</v>
      </c>
      <c r="H36" s="9">
        <v>179000</v>
      </c>
      <c r="I36" s="9">
        <v>27000</v>
      </c>
      <c r="J36" s="9">
        <v>708000</v>
      </c>
      <c r="K36" s="9">
        <v>89000</v>
      </c>
      <c r="L36" s="9">
        <v>89000</v>
      </c>
      <c r="M36" s="9">
        <v>56000</v>
      </c>
      <c r="N36" s="13" t="s">
        <v>191</v>
      </c>
      <c r="O36" s="13" t="s">
        <v>220</v>
      </c>
      <c r="P36" s="9">
        <v>50000</v>
      </c>
      <c r="Q36" s="9">
        <v>70000</v>
      </c>
    </row>
    <row r="37" spans="1:17" ht="12.45" customHeight="1">
      <c r="A37" s="78" t="s">
        <v>273</v>
      </c>
      <c r="B37" s="9">
        <v>63000</v>
      </c>
      <c r="C37" s="9">
        <v>56000</v>
      </c>
      <c r="D37" s="9">
        <v>55000</v>
      </c>
      <c r="E37" s="13" t="s">
        <v>191</v>
      </c>
      <c r="F37" s="9">
        <v>4000</v>
      </c>
      <c r="G37" s="13" t="s">
        <v>220</v>
      </c>
      <c r="H37" s="9">
        <v>29000</v>
      </c>
      <c r="I37" s="13" t="s">
        <v>220</v>
      </c>
      <c r="J37" s="9">
        <v>22000</v>
      </c>
      <c r="K37" s="13" t="s">
        <v>191</v>
      </c>
      <c r="L37" s="13" t="s">
        <v>220</v>
      </c>
      <c r="M37" s="13" t="s">
        <v>220</v>
      </c>
      <c r="N37" s="13" t="s">
        <v>220</v>
      </c>
      <c r="O37" s="13" t="s">
        <v>220</v>
      </c>
      <c r="P37" s="13" t="s">
        <v>220</v>
      </c>
      <c r="Q37" s="9">
        <v>84000</v>
      </c>
    </row>
    <row r="38" spans="1:17" ht="12.45" customHeight="1">
      <c r="A38" s="12" t="s">
        <v>274</v>
      </c>
      <c r="B38" s="9">
        <v>8904000</v>
      </c>
      <c r="C38" s="9">
        <v>7889000</v>
      </c>
      <c r="D38" s="9">
        <v>7003000</v>
      </c>
      <c r="E38" s="9">
        <v>886000</v>
      </c>
      <c r="F38" s="9">
        <v>912000</v>
      </c>
      <c r="G38" s="9">
        <v>60000</v>
      </c>
      <c r="H38" s="9">
        <v>1238000</v>
      </c>
      <c r="I38" s="9">
        <v>188000</v>
      </c>
      <c r="J38" s="9">
        <v>4853000</v>
      </c>
      <c r="K38" s="9">
        <v>638000</v>
      </c>
      <c r="L38" s="9">
        <v>282000</v>
      </c>
      <c r="M38" s="9">
        <v>734000</v>
      </c>
      <c r="N38" s="9">
        <v>24000</v>
      </c>
      <c r="O38" s="9">
        <v>63000</v>
      </c>
      <c r="P38" s="9">
        <v>647000</v>
      </c>
      <c r="Q38" s="9">
        <v>86000</v>
      </c>
    </row>
    <row r="39" spans="1:17" ht="12.45" customHeight="1">
      <c r="A39" s="12" t="s">
        <v>275</v>
      </c>
      <c r="B39" s="9">
        <v>381000</v>
      </c>
      <c r="C39" s="9">
        <v>310000</v>
      </c>
      <c r="D39" s="9">
        <v>271000</v>
      </c>
      <c r="E39" s="9">
        <v>39000</v>
      </c>
      <c r="F39" s="9">
        <v>32000</v>
      </c>
      <c r="G39" s="13" t="s">
        <v>191</v>
      </c>
      <c r="H39" s="9">
        <v>40000</v>
      </c>
      <c r="I39" s="13" t="s">
        <v>220</v>
      </c>
      <c r="J39" s="9">
        <v>198000</v>
      </c>
      <c r="K39" s="9">
        <v>25000</v>
      </c>
      <c r="L39" s="13" t="s">
        <v>191</v>
      </c>
      <c r="M39" s="9">
        <v>22000</v>
      </c>
      <c r="N39" s="13" t="s">
        <v>220</v>
      </c>
      <c r="O39" s="13" t="s">
        <v>220</v>
      </c>
      <c r="P39" s="9">
        <v>21000</v>
      </c>
      <c r="Q39" s="9">
        <v>80000</v>
      </c>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0" tint="-0.249977111117893"/>
  </sheetPr>
  <dimension ref="A1:R39"/>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39" customHeight="1">
      <c r="A1" s="321" t="s">
        <v>444</v>
      </c>
      <c r="B1" s="321"/>
      <c r="C1" s="321"/>
      <c r="D1" s="321"/>
      <c r="E1" s="321"/>
      <c r="F1" s="321"/>
      <c r="G1" s="321"/>
      <c r="H1" s="321"/>
      <c r="I1" s="321"/>
      <c r="J1" s="321"/>
      <c r="K1" s="321"/>
      <c r="L1" s="321"/>
      <c r="M1" s="321"/>
      <c r="N1" s="321"/>
      <c r="O1" s="321"/>
      <c r="P1" s="321"/>
      <c r="Q1" s="321"/>
      <c r="R1" s="321"/>
    </row>
    <row r="2" spans="1:18" ht="1.95" customHeight="1"/>
    <row r="3" spans="1:18" ht="16.2" customHeight="1">
      <c r="A3" s="339" t="s">
        <v>445</v>
      </c>
      <c r="B3" s="345" t="s">
        <v>167</v>
      </c>
      <c r="C3" s="400" t="s">
        <v>446</v>
      </c>
      <c r="D3" s="401"/>
      <c r="E3" s="402"/>
      <c r="F3" s="403" t="s">
        <v>447</v>
      </c>
      <c r="G3" s="404"/>
      <c r="H3" s="403" t="s">
        <v>448</v>
      </c>
      <c r="I3" s="404"/>
      <c r="J3" s="403" t="s">
        <v>449</v>
      </c>
      <c r="K3" s="404"/>
      <c r="L3" s="335" t="s">
        <v>169</v>
      </c>
      <c r="M3" s="405" t="s">
        <v>170</v>
      </c>
      <c r="N3" s="406"/>
      <c r="O3" s="406"/>
      <c r="P3" s="407"/>
      <c r="Q3" s="408" t="s">
        <v>450</v>
      </c>
    </row>
    <row r="4" spans="1:18" ht="13.95" customHeight="1">
      <c r="A4" s="341"/>
      <c r="B4" s="346"/>
      <c r="C4" s="41" t="s">
        <v>168</v>
      </c>
      <c r="D4" s="41" t="s">
        <v>451</v>
      </c>
      <c r="E4" s="5" t="s">
        <v>452</v>
      </c>
      <c r="F4" s="48" t="s">
        <v>451</v>
      </c>
      <c r="G4" s="41" t="s">
        <v>452</v>
      </c>
      <c r="H4" s="44" t="s">
        <v>451</v>
      </c>
      <c r="I4" s="44" t="s">
        <v>452</v>
      </c>
      <c r="J4" s="44" t="s">
        <v>451</v>
      </c>
      <c r="K4" s="48" t="s">
        <v>452</v>
      </c>
      <c r="L4" s="336"/>
      <c r="M4" s="23" t="s">
        <v>167</v>
      </c>
      <c r="N4" s="5" t="s">
        <v>453</v>
      </c>
      <c r="O4" s="41" t="s">
        <v>454</v>
      </c>
      <c r="P4" s="44" t="s">
        <v>455</v>
      </c>
      <c r="Q4" s="409"/>
    </row>
    <row r="5" spans="1:18" ht="12.45" customHeight="1">
      <c r="A5" s="14" t="s">
        <v>267</v>
      </c>
      <c r="B5" s="7">
        <v>12246000</v>
      </c>
      <c r="C5" s="7">
        <v>10778000</v>
      </c>
      <c r="D5" s="7">
        <v>9561000</v>
      </c>
      <c r="E5" s="7">
        <v>1217000</v>
      </c>
      <c r="F5" s="7">
        <v>1397000</v>
      </c>
      <c r="G5" s="7">
        <v>83000</v>
      </c>
      <c r="H5" s="7">
        <v>1801000</v>
      </c>
      <c r="I5" s="7">
        <v>271000</v>
      </c>
      <c r="J5" s="7">
        <v>6363000</v>
      </c>
      <c r="K5" s="7">
        <v>864000</v>
      </c>
      <c r="L5" s="7">
        <v>522000</v>
      </c>
      <c r="M5" s="7">
        <v>946000</v>
      </c>
      <c r="N5" s="7">
        <v>41000</v>
      </c>
      <c r="O5" s="7">
        <v>63000</v>
      </c>
      <c r="P5" s="7">
        <v>842000</v>
      </c>
      <c r="Q5" s="7">
        <v>88000</v>
      </c>
    </row>
    <row r="6" spans="1:18" ht="12.45" customHeight="1">
      <c r="A6" s="10" t="s">
        <v>268</v>
      </c>
      <c r="B6" s="9">
        <v>1613000</v>
      </c>
      <c r="C6" s="9">
        <v>1347000</v>
      </c>
      <c r="D6" s="9">
        <v>1190000</v>
      </c>
      <c r="E6" s="9">
        <v>157000</v>
      </c>
      <c r="F6" s="9">
        <v>163000</v>
      </c>
      <c r="G6" s="9">
        <v>11000</v>
      </c>
      <c r="H6" s="9">
        <v>180000</v>
      </c>
      <c r="I6" s="9">
        <v>29000</v>
      </c>
      <c r="J6" s="9">
        <v>847000</v>
      </c>
      <c r="K6" s="9">
        <v>116000</v>
      </c>
      <c r="L6" s="9">
        <v>84000</v>
      </c>
      <c r="M6" s="9">
        <v>183000</v>
      </c>
      <c r="N6" s="13" t="s">
        <v>191</v>
      </c>
      <c r="O6" s="9">
        <v>12000</v>
      </c>
      <c r="P6" s="9">
        <v>167000</v>
      </c>
      <c r="Q6" s="9">
        <v>75000</v>
      </c>
    </row>
    <row r="7" spans="1:18" ht="12.45" customHeight="1">
      <c r="A7" s="12" t="s">
        <v>457</v>
      </c>
      <c r="B7" s="53"/>
      <c r="C7" s="53"/>
      <c r="D7" s="53"/>
      <c r="E7" s="53"/>
      <c r="F7" s="53"/>
      <c r="G7" s="53"/>
      <c r="H7" s="53"/>
      <c r="I7" s="53"/>
      <c r="J7" s="53"/>
      <c r="K7" s="53"/>
      <c r="L7" s="53"/>
      <c r="M7" s="53"/>
      <c r="N7" s="53"/>
      <c r="O7" s="53"/>
      <c r="P7" s="53"/>
      <c r="Q7" s="53"/>
    </row>
    <row r="8" spans="1:18" ht="12.45" customHeight="1">
      <c r="A8" s="15" t="s">
        <v>458</v>
      </c>
      <c r="B8" s="9">
        <v>150000</v>
      </c>
      <c r="C8" s="9">
        <v>119000</v>
      </c>
      <c r="D8" s="9">
        <v>93000</v>
      </c>
      <c r="E8" s="9">
        <v>26000</v>
      </c>
      <c r="F8" s="9">
        <v>12000</v>
      </c>
      <c r="G8" s="13" t="s">
        <v>220</v>
      </c>
      <c r="H8" s="9">
        <v>9000</v>
      </c>
      <c r="I8" s="13" t="s">
        <v>220</v>
      </c>
      <c r="J8" s="9">
        <v>72000</v>
      </c>
      <c r="K8" s="9">
        <v>21000</v>
      </c>
      <c r="L8" s="9">
        <v>3000</v>
      </c>
      <c r="M8" s="9">
        <v>28000</v>
      </c>
      <c r="N8" s="13" t="s">
        <v>220</v>
      </c>
      <c r="O8" s="13" t="s">
        <v>220</v>
      </c>
      <c r="P8" s="9">
        <v>28000</v>
      </c>
      <c r="Q8" s="9">
        <v>59000</v>
      </c>
    </row>
    <row r="9" spans="1:18" ht="12.45" customHeight="1">
      <c r="A9" s="15" t="s">
        <v>459</v>
      </c>
      <c r="B9" s="9">
        <v>186000</v>
      </c>
      <c r="C9" s="9">
        <v>171000</v>
      </c>
      <c r="D9" s="9">
        <v>159000</v>
      </c>
      <c r="E9" s="9">
        <v>12000</v>
      </c>
      <c r="F9" s="9">
        <v>15000</v>
      </c>
      <c r="G9" s="13" t="s">
        <v>220</v>
      </c>
      <c r="H9" s="9">
        <v>19000</v>
      </c>
      <c r="I9" s="13" t="s">
        <v>220</v>
      </c>
      <c r="J9" s="9">
        <v>125000</v>
      </c>
      <c r="K9" s="9">
        <v>10000</v>
      </c>
      <c r="L9" s="13" t="s">
        <v>220</v>
      </c>
      <c r="M9" s="9">
        <v>12000</v>
      </c>
      <c r="N9" s="13" t="s">
        <v>220</v>
      </c>
      <c r="O9" s="13" t="s">
        <v>220</v>
      </c>
      <c r="P9" s="9">
        <v>12000</v>
      </c>
      <c r="Q9" s="9">
        <v>73000</v>
      </c>
    </row>
    <row r="10" spans="1:18" ht="12.45" customHeight="1">
      <c r="A10" s="15" t="s">
        <v>460</v>
      </c>
      <c r="B10" s="9">
        <v>287000</v>
      </c>
      <c r="C10" s="9">
        <v>241000</v>
      </c>
      <c r="D10" s="9">
        <v>214000</v>
      </c>
      <c r="E10" s="9">
        <v>27000</v>
      </c>
      <c r="F10" s="9">
        <v>39000</v>
      </c>
      <c r="G10" s="13" t="s">
        <v>220</v>
      </c>
      <c r="H10" s="9">
        <v>28000</v>
      </c>
      <c r="I10" s="13" t="s">
        <v>220</v>
      </c>
      <c r="J10" s="9">
        <v>147000</v>
      </c>
      <c r="K10" s="9">
        <v>18000</v>
      </c>
      <c r="L10" s="9">
        <v>25000</v>
      </c>
      <c r="M10" s="9">
        <v>21000</v>
      </c>
      <c r="N10" s="13" t="s">
        <v>220</v>
      </c>
      <c r="O10" s="13" t="s">
        <v>220</v>
      </c>
      <c r="P10" s="9">
        <v>18000</v>
      </c>
      <c r="Q10" s="9">
        <v>70000</v>
      </c>
    </row>
    <row r="11" spans="1:18" ht="12.45" customHeight="1">
      <c r="A11" s="15" t="s">
        <v>461</v>
      </c>
      <c r="B11" s="9">
        <v>201000</v>
      </c>
      <c r="C11" s="9">
        <v>170000</v>
      </c>
      <c r="D11" s="9">
        <v>160000</v>
      </c>
      <c r="E11" s="13" t="s">
        <v>191</v>
      </c>
      <c r="F11" s="9">
        <v>19000</v>
      </c>
      <c r="G11" s="13" t="s">
        <v>220</v>
      </c>
      <c r="H11" s="13" t="s">
        <v>191</v>
      </c>
      <c r="I11" s="13" t="s">
        <v>220</v>
      </c>
      <c r="J11" s="9">
        <v>116000</v>
      </c>
      <c r="K11" s="13" t="s">
        <v>191</v>
      </c>
      <c r="L11" s="13" t="s">
        <v>191</v>
      </c>
      <c r="M11" s="9">
        <v>26000</v>
      </c>
      <c r="N11" s="13" t="s">
        <v>220</v>
      </c>
      <c r="O11" s="13" t="s">
        <v>220</v>
      </c>
      <c r="P11" s="9">
        <v>24000</v>
      </c>
      <c r="Q11" s="9">
        <v>83000</v>
      </c>
    </row>
    <row r="12" spans="1:18" ht="12.45" customHeight="1">
      <c r="A12" s="15" t="s">
        <v>324</v>
      </c>
      <c r="B12" s="9">
        <v>312000</v>
      </c>
      <c r="C12" s="9">
        <v>247000</v>
      </c>
      <c r="D12" s="9">
        <v>202000</v>
      </c>
      <c r="E12" s="9">
        <v>45000</v>
      </c>
      <c r="F12" s="9">
        <v>27000</v>
      </c>
      <c r="G12" s="13" t="s">
        <v>191</v>
      </c>
      <c r="H12" s="9">
        <v>45000</v>
      </c>
      <c r="I12" s="13" t="s">
        <v>191</v>
      </c>
      <c r="J12" s="9">
        <v>130000</v>
      </c>
      <c r="K12" s="9">
        <v>29000</v>
      </c>
      <c r="L12" s="9">
        <v>15000</v>
      </c>
      <c r="M12" s="9">
        <v>50000</v>
      </c>
      <c r="N12" s="13" t="s">
        <v>220</v>
      </c>
      <c r="O12" s="13" t="s">
        <v>191</v>
      </c>
      <c r="P12" s="9">
        <v>45000</v>
      </c>
      <c r="Q12" s="9">
        <v>79000</v>
      </c>
    </row>
    <row r="13" spans="1:18" ht="12.45" customHeight="1">
      <c r="A13" s="15" t="s">
        <v>325</v>
      </c>
      <c r="B13" s="9">
        <v>477000</v>
      </c>
      <c r="C13" s="9">
        <v>398000</v>
      </c>
      <c r="D13" s="9">
        <v>362000</v>
      </c>
      <c r="E13" s="9">
        <v>36000</v>
      </c>
      <c r="F13" s="9">
        <v>51000</v>
      </c>
      <c r="G13" s="13" t="s">
        <v>191</v>
      </c>
      <c r="H13" s="9">
        <v>54000</v>
      </c>
      <c r="I13" s="9">
        <v>7000</v>
      </c>
      <c r="J13" s="9">
        <v>257000</v>
      </c>
      <c r="K13" s="9">
        <v>28000</v>
      </c>
      <c r="L13" s="9">
        <v>33000</v>
      </c>
      <c r="M13" s="9">
        <v>46000</v>
      </c>
      <c r="N13" s="13" t="s">
        <v>220</v>
      </c>
      <c r="O13" s="13" t="s">
        <v>191</v>
      </c>
      <c r="P13" s="9">
        <v>39000</v>
      </c>
      <c r="Q13" s="9">
        <v>76000</v>
      </c>
    </row>
    <row r="14" spans="1:18" ht="12.45" customHeight="1">
      <c r="A14" s="8" t="s">
        <v>462</v>
      </c>
      <c r="B14" s="9">
        <v>12596000</v>
      </c>
      <c r="C14" s="9">
        <v>10619000</v>
      </c>
      <c r="D14" s="9">
        <v>9232000</v>
      </c>
      <c r="E14" s="9">
        <v>1387000</v>
      </c>
      <c r="F14" s="9">
        <v>1261000</v>
      </c>
      <c r="G14" s="9">
        <v>91000</v>
      </c>
      <c r="H14" s="9">
        <v>1497000</v>
      </c>
      <c r="I14" s="9">
        <v>235000</v>
      </c>
      <c r="J14" s="9">
        <v>6474000</v>
      </c>
      <c r="K14" s="9">
        <v>1061000</v>
      </c>
      <c r="L14" s="9">
        <v>547000</v>
      </c>
      <c r="M14" s="9">
        <v>1430000</v>
      </c>
      <c r="N14" s="9">
        <v>31000</v>
      </c>
      <c r="O14" s="9">
        <v>579000</v>
      </c>
      <c r="P14" s="9">
        <v>820000</v>
      </c>
      <c r="Q14" s="9">
        <v>90000</v>
      </c>
    </row>
    <row r="15" spans="1:18" ht="12.45" customHeight="1">
      <c r="A15" s="10" t="s">
        <v>282</v>
      </c>
      <c r="B15" s="9">
        <v>6604000</v>
      </c>
      <c r="C15" s="9">
        <v>5300000</v>
      </c>
      <c r="D15" s="9">
        <v>4339000</v>
      </c>
      <c r="E15" s="9">
        <v>961000</v>
      </c>
      <c r="F15" s="9">
        <v>331000</v>
      </c>
      <c r="G15" s="9">
        <v>45000</v>
      </c>
      <c r="H15" s="9">
        <v>782000</v>
      </c>
      <c r="I15" s="9">
        <v>172000</v>
      </c>
      <c r="J15" s="9">
        <v>3226000</v>
      </c>
      <c r="K15" s="9">
        <v>745000</v>
      </c>
      <c r="L15" s="9">
        <v>292000</v>
      </c>
      <c r="M15" s="9">
        <v>1012000</v>
      </c>
      <c r="N15" s="13" t="s">
        <v>191</v>
      </c>
      <c r="O15" s="9">
        <v>372000</v>
      </c>
      <c r="P15" s="9">
        <v>614000</v>
      </c>
      <c r="Q15" s="9">
        <v>75000</v>
      </c>
    </row>
    <row r="16" spans="1:18" ht="12.45" customHeight="1">
      <c r="A16" s="10" t="s">
        <v>283</v>
      </c>
      <c r="B16" s="9">
        <v>5992000</v>
      </c>
      <c r="C16" s="9">
        <v>5319000</v>
      </c>
      <c r="D16" s="9">
        <v>4894000</v>
      </c>
      <c r="E16" s="9">
        <v>426000</v>
      </c>
      <c r="F16" s="9">
        <v>930000</v>
      </c>
      <c r="G16" s="9">
        <v>47000</v>
      </c>
      <c r="H16" s="9">
        <v>715000</v>
      </c>
      <c r="I16" s="9">
        <v>63000</v>
      </c>
      <c r="J16" s="9">
        <v>3248000</v>
      </c>
      <c r="K16" s="9">
        <v>315000</v>
      </c>
      <c r="L16" s="9">
        <v>255000</v>
      </c>
      <c r="M16" s="9">
        <v>418000</v>
      </c>
      <c r="N16" s="13" t="s">
        <v>191</v>
      </c>
      <c r="O16" s="9">
        <v>208000</v>
      </c>
      <c r="P16" s="9">
        <v>206000</v>
      </c>
      <c r="Q16" s="9">
        <v>107000</v>
      </c>
    </row>
    <row r="17" spans="1:17" ht="12.45" customHeight="1">
      <c r="A17" s="10" t="s">
        <v>265</v>
      </c>
      <c r="B17" s="9">
        <v>1069000</v>
      </c>
      <c r="C17" s="9">
        <v>903000</v>
      </c>
      <c r="D17" s="9">
        <v>787000</v>
      </c>
      <c r="E17" s="9">
        <v>116000</v>
      </c>
      <c r="F17" s="9">
        <v>86000</v>
      </c>
      <c r="G17" s="9">
        <v>3000</v>
      </c>
      <c r="H17" s="9">
        <v>118000</v>
      </c>
      <c r="I17" s="9">
        <v>9000</v>
      </c>
      <c r="J17" s="9">
        <v>584000</v>
      </c>
      <c r="K17" s="9">
        <v>104000</v>
      </c>
      <c r="L17" s="9">
        <v>35000</v>
      </c>
      <c r="M17" s="9">
        <v>132000</v>
      </c>
      <c r="N17" s="13" t="s">
        <v>220</v>
      </c>
      <c r="O17" s="9">
        <v>49000</v>
      </c>
      <c r="P17" s="9">
        <v>82000</v>
      </c>
      <c r="Q17" s="9">
        <v>74000</v>
      </c>
    </row>
    <row r="18" spans="1:17" ht="12.45" customHeight="1">
      <c r="A18" s="10" t="s">
        <v>266</v>
      </c>
      <c r="B18" s="53"/>
      <c r="C18" s="53"/>
      <c r="D18" s="53"/>
      <c r="E18" s="53"/>
      <c r="F18" s="53"/>
      <c r="G18" s="53"/>
      <c r="H18" s="53"/>
      <c r="I18" s="53"/>
      <c r="J18" s="53"/>
      <c r="K18" s="53"/>
      <c r="L18" s="53"/>
      <c r="M18" s="53"/>
      <c r="N18" s="53"/>
      <c r="O18" s="53"/>
      <c r="P18" s="53"/>
      <c r="Q18" s="53"/>
    </row>
    <row r="19" spans="1:17" ht="12.45" customHeight="1">
      <c r="A19" s="12" t="s">
        <v>270</v>
      </c>
      <c r="B19" s="9">
        <v>46000</v>
      </c>
      <c r="C19" s="9">
        <v>37000</v>
      </c>
      <c r="D19" s="9">
        <v>33000</v>
      </c>
      <c r="E19" s="13" t="s">
        <v>191</v>
      </c>
      <c r="F19" s="9">
        <v>1000</v>
      </c>
      <c r="G19" s="13" t="s">
        <v>220</v>
      </c>
      <c r="H19" s="9">
        <v>3000</v>
      </c>
      <c r="I19" s="13" t="s">
        <v>220</v>
      </c>
      <c r="J19" s="9">
        <v>29000</v>
      </c>
      <c r="K19" s="13" t="s">
        <v>220</v>
      </c>
      <c r="L19" s="13" t="s">
        <v>191</v>
      </c>
      <c r="M19" s="13" t="s">
        <v>191</v>
      </c>
      <c r="N19" s="13" t="s">
        <v>220</v>
      </c>
      <c r="O19" s="13" t="s">
        <v>220</v>
      </c>
      <c r="P19" s="13" t="s">
        <v>220</v>
      </c>
      <c r="Q19" s="9">
        <v>62000</v>
      </c>
    </row>
    <row r="20" spans="1:17" ht="12.45" customHeight="1">
      <c r="A20" s="12" t="s">
        <v>271</v>
      </c>
      <c r="B20" s="9">
        <v>1199000</v>
      </c>
      <c r="C20" s="9">
        <v>961000</v>
      </c>
      <c r="D20" s="9">
        <v>841000</v>
      </c>
      <c r="E20" s="9">
        <v>120000</v>
      </c>
      <c r="F20" s="9">
        <v>218000</v>
      </c>
      <c r="G20" s="9">
        <v>18000</v>
      </c>
      <c r="H20" s="9">
        <v>188000</v>
      </c>
      <c r="I20" s="9">
        <v>27000</v>
      </c>
      <c r="J20" s="9">
        <v>435000</v>
      </c>
      <c r="K20" s="9">
        <v>75000</v>
      </c>
      <c r="L20" s="9">
        <v>81000</v>
      </c>
      <c r="M20" s="9">
        <v>157000</v>
      </c>
      <c r="N20" s="13" t="s">
        <v>220</v>
      </c>
      <c r="O20" s="9">
        <v>37000</v>
      </c>
      <c r="P20" s="9">
        <v>104000</v>
      </c>
      <c r="Q20" s="9">
        <v>106000</v>
      </c>
    </row>
    <row r="21" spans="1:17" ht="12.45" customHeight="1">
      <c r="A21" s="12" t="s">
        <v>272</v>
      </c>
      <c r="B21" s="9">
        <v>1083000</v>
      </c>
      <c r="C21" s="9">
        <v>905000</v>
      </c>
      <c r="D21" s="9">
        <v>829000</v>
      </c>
      <c r="E21" s="9">
        <v>76000</v>
      </c>
      <c r="F21" s="9">
        <v>70000</v>
      </c>
      <c r="G21" s="13" t="s">
        <v>191</v>
      </c>
      <c r="H21" s="9">
        <v>146000</v>
      </c>
      <c r="I21" s="9">
        <v>8000</v>
      </c>
      <c r="J21" s="9">
        <v>614000</v>
      </c>
      <c r="K21" s="9">
        <v>62000</v>
      </c>
      <c r="L21" s="9">
        <v>80000</v>
      </c>
      <c r="M21" s="9">
        <v>98000</v>
      </c>
      <c r="N21" s="13" t="s">
        <v>220</v>
      </c>
      <c r="O21" s="9">
        <v>52000</v>
      </c>
      <c r="P21" s="9">
        <v>39000</v>
      </c>
      <c r="Q21" s="9">
        <v>80000</v>
      </c>
    </row>
    <row r="22" spans="1:17" ht="12.45" customHeight="1">
      <c r="A22" s="12" t="s">
        <v>273</v>
      </c>
      <c r="B22" s="9">
        <v>27000</v>
      </c>
      <c r="C22" s="9">
        <v>21000</v>
      </c>
      <c r="D22" s="9">
        <v>20000</v>
      </c>
      <c r="E22" s="13" t="s">
        <v>220</v>
      </c>
      <c r="F22" s="9">
        <v>2000</v>
      </c>
      <c r="G22" s="13" t="s">
        <v>220</v>
      </c>
      <c r="H22" s="9">
        <v>2000</v>
      </c>
      <c r="I22" s="13" t="s">
        <v>220</v>
      </c>
      <c r="J22" s="9">
        <v>16000</v>
      </c>
      <c r="K22" s="13" t="s">
        <v>220</v>
      </c>
      <c r="L22" s="13" t="s">
        <v>220</v>
      </c>
      <c r="M22" s="13" t="s">
        <v>191</v>
      </c>
      <c r="N22" s="13" t="s">
        <v>220</v>
      </c>
      <c r="O22" s="13" t="s">
        <v>220</v>
      </c>
      <c r="P22" s="13" t="s">
        <v>220</v>
      </c>
      <c r="Q22" s="13" t="s">
        <v>191</v>
      </c>
    </row>
    <row r="23" spans="1:17" ht="12.45" customHeight="1">
      <c r="A23" s="12" t="s">
        <v>274</v>
      </c>
      <c r="B23" s="9">
        <v>8945000</v>
      </c>
      <c r="C23" s="9">
        <v>7615000</v>
      </c>
      <c r="D23" s="9">
        <v>6558000</v>
      </c>
      <c r="E23" s="9">
        <v>1056000</v>
      </c>
      <c r="F23" s="9">
        <v>864000</v>
      </c>
      <c r="G23" s="9">
        <v>63000</v>
      </c>
      <c r="H23" s="9">
        <v>1025000</v>
      </c>
      <c r="I23" s="9">
        <v>185000</v>
      </c>
      <c r="J23" s="9">
        <v>4669000</v>
      </c>
      <c r="K23" s="9">
        <v>808000</v>
      </c>
      <c r="L23" s="9">
        <v>329000</v>
      </c>
      <c r="M23" s="9">
        <v>1001000</v>
      </c>
      <c r="N23" s="13" t="s">
        <v>191</v>
      </c>
      <c r="O23" s="9">
        <v>432000</v>
      </c>
      <c r="P23" s="9">
        <v>562000</v>
      </c>
      <c r="Q23" s="9">
        <v>94000</v>
      </c>
    </row>
    <row r="24" spans="1:17" ht="12.45" customHeight="1">
      <c r="A24" s="12" t="s">
        <v>275</v>
      </c>
      <c r="B24" s="9">
        <v>227000</v>
      </c>
      <c r="C24" s="9">
        <v>179000</v>
      </c>
      <c r="D24" s="9">
        <v>165000</v>
      </c>
      <c r="E24" s="9">
        <v>14000</v>
      </c>
      <c r="F24" s="9">
        <v>20000</v>
      </c>
      <c r="G24" s="13" t="s">
        <v>191</v>
      </c>
      <c r="H24" s="9">
        <v>17000</v>
      </c>
      <c r="I24" s="13" t="s">
        <v>220</v>
      </c>
      <c r="J24" s="9">
        <v>128000</v>
      </c>
      <c r="K24" s="9">
        <v>9000</v>
      </c>
      <c r="L24" s="13" t="s">
        <v>191</v>
      </c>
      <c r="M24" s="9">
        <v>32000</v>
      </c>
      <c r="N24" s="13" t="s">
        <v>220</v>
      </c>
      <c r="O24" s="13" t="s">
        <v>191</v>
      </c>
      <c r="P24" s="13" t="s">
        <v>191</v>
      </c>
      <c r="Q24" s="9">
        <v>90000</v>
      </c>
    </row>
    <row r="25" spans="1:17" ht="12.45" customHeight="1">
      <c r="A25" s="10" t="s">
        <v>267</v>
      </c>
      <c r="B25" s="9">
        <v>10387000</v>
      </c>
      <c r="C25" s="9">
        <v>8958000</v>
      </c>
      <c r="D25" s="9">
        <v>7788000</v>
      </c>
      <c r="E25" s="9">
        <v>1170000</v>
      </c>
      <c r="F25" s="9">
        <v>1085000</v>
      </c>
      <c r="G25" s="9">
        <v>77000</v>
      </c>
      <c r="H25" s="9">
        <v>1291000</v>
      </c>
      <c r="I25" s="9">
        <v>203000</v>
      </c>
      <c r="J25" s="9">
        <v>5412000</v>
      </c>
      <c r="K25" s="9">
        <v>890000</v>
      </c>
      <c r="L25" s="9">
        <v>455000</v>
      </c>
      <c r="M25" s="9">
        <v>974000</v>
      </c>
      <c r="N25" s="13" t="s">
        <v>191</v>
      </c>
      <c r="O25" s="9">
        <v>408000</v>
      </c>
      <c r="P25" s="9">
        <v>541000</v>
      </c>
      <c r="Q25" s="9">
        <v>91000</v>
      </c>
    </row>
    <row r="26" spans="1:17" ht="12.45" customHeight="1">
      <c r="A26" s="10" t="s">
        <v>268</v>
      </c>
      <c r="B26" s="9">
        <v>2209000</v>
      </c>
      <c r="C26" s="9">
        <v>1661000</v>
      </c>
      <c r="D26" s="9">
        <v>1444000</v>
      </c>
      <c r="E26" s="9">
        <v>217000</v>
      </c>
      <c r="F26" s="9">
        <v>176000</v>
      </c>
      <c r="G26" s="9">
        <v>14000</v>
      </c>
      <c r="H26" s="9">
        <v>206000</v>
      </c>
      <c r="I26" s="9">
        <v>32000</v>
      </c>
      <c r="J26" s="9">
        <v>1062000</v>
      </c>
      <c r="K26" s="9">
        <v>171000</v>
      </c>
      <c r="L26" s="9">
        <v>92000</v>
      </c>
      <c r="M26" s="9">
        <v>456000</v>
      </c>
      <c r="N26" s="13" t="s">
        <v>191</v>
      </c>
      <c r="O26" s="9">
        <v>171000</v>
      </c>
      <c r="P26" s="9">
        <v>278000</v>
      </c>
      <c r="Q26" s="9">
        <v>84000</v>
      </c>
    </row>
    <row r="27" spans="1:17" ht="12.45" customHeight="1">
      <c r="A27" s="12" t="s">
        <v>457</v>
      </c>
      <c r="B27" s="53"/>
      <c r="C27" s="53"/>
      <c r="D27" s="53"/>
      <c r="E27" s="53"/>
      <c r="F27" s="53"/>
      <c r="G27" s="53"/>
      <c r="H27" s="53"/>
      <c r="I27" s="53"/>
      <c r="J27" s="53"/>
      <c r="K27" s="53"/>
      <c r="L27" s="53"/>
      <c r="M27" s="53"/>
      <c r="N27" s="53"/>
      <c r="O27" s="53"/>
      <c r="P27" s="53"/>
      <c r="Q27" s="53"/>
    </row>
    <row r="28" spans="1:17" ht="12.45" customHeight="1">
      <c r="A28" s="15" t="s">
        <v>458</v>
      </c>
      <c r="B28" s="9">
        <v>144000</v>
      </c>
      <c r="C28" s="9">
        <v>97000</v>
      </c>
      <c r="D28" s="9">
        <v>75000</v>
      </c>
      <c r="E28" s="9">
        <v>22000</v>
      </c>
      <c r="F28" s="9">
        <v>17000</v>
      </c>
      <c r="G28" s="13" t="s">
        <v>220</v>
      </c>
      <c r="H28" s="9">
        <v>10000</v>
      </c>
      <c r="I28" s="13" t="s">
        <v>220</v>
      </c>
      <c r="J28" s="9">
        <v>48000</v>
      </c>
      <c r="K28" s="13" t="s">
        <v>191</v>
      </c>
      <c r="L28" s="9">
        <v>17000</v>
      </c>
      <c r="M28" s="9">
        <v>30000</v>
      </c>
      <c r="N28" s="13" t="s">
        <v>220</v>
      </c>
      <c r="O28" s="9">
        <v>14000</v>
      </c>
      <c r="P28" s="9">
        <v>15000</v>
      </c>
      <c r="Q28" s="9">
        <v>85000</v>
      </c>
    </row>
    <row r="29" spans="1:17" ht="12.45" customHeight="1">
      <c r="A29" s="15" t="s">
        <v>459</v>
      </c>
      <c r="B29" s="9">
        <v>122000</v>
      </c>
      <c r="C29" s="9">
        <v>92000</v>
      </c>
      <c r="D29" s="9">
        <v>86000</v>
      </c>
      <c r="E29" s="9">
        <v>6000</v>
      </c>
      <c r="F29" s="9">
        <v>10000</v>
      </c>
      <c r="G29" s="13" t="s">
        <v>220</v>
      </c>
      <c r="H29" s="9">
        <v>16000</v>
      </c>
      <c r="I29" s="13" t="s">
        <v>220</v>
      </c>
      <c r="J29" s="9">
        <v>60000</v>
      </c>
      <c r="K29" s="13" t="s">
        <v>191</v>
      </c>
      <c r="L29" s="13" t="s">
        <v>220</v>
      </c>
      <c r="M29" s="9">
        <v>24000</v>
      </c>
      <c r="N29" s="13" t="s">
        <v>220</v>
      </c>
      <c r="O29" s="13" t="s">
        <v>191</v>
      </c>
      <c r="P29" s="9">
        <v>19000</v>
      </c>
      <c r="Q29" s="9">
        <v>74000</v>
      </c>
    </row>
    <row r="30" spans="1:17" ht="12.45" customHeight="1">
      <c r="A30" s="15" t="s">
        <v>460</v>
      </c>
      <c r="B30" s="9">
        <v>295000</v>
      </c>
      <c r="C30" s="9">
        <v>224000</v>
      </c>
      <c r="D30" s="9">
        <v>211000</v>
      </c>
      <c r="E30" s="9">
        <v>13000</v>
      </c>
      <c r="F30" s="9">
        <v>25000</v>
      </c>
      <c r="G30" s="13" t="s">
        <v>191</v>
      </c>
      <c r="H30" s="9">
        <v>39000</v>
      </c>
      <c r="I30" s="13" t="s">
        <v>191</v>
      </c>
      <c r="J30" s="9">
        <v>147000</v>
      </c>
      <c r="K30" s="13" t="s">
        <v>191</v>
      </c>
      <c r="L30" s="13" t="s">
        <v>191</v>
      </c>
      <c r="M30" s="9">
        <v>61000</v>
      </c>
      <c r="N30" s="13" t="s">
        <v>220</v>
      </c>
      <c r="O30" s="9">
        <v>23000</v>
      </c>
      <c r="P30" s="9">
        <v>36000</v>
      </c>
      <c r="Q30" s="9">
        <v>89000</v>
      </c>
    </row>
    <row r="31" spans="1:17" ht="12.45" customHeight="1">
      <c r="A31" s="15" t="s">
        <v>461</v>
      </c>
      <c r="B31" s="9">
        <v>162000</v>
      </c>
      <c r="C31" s="9">
        <v>104000</v>
      </c>
      <c r="D31" s="9">
        <v>83000</v>
      </c>
      <c r="E31" s="9">
        <v>20000</v>
      </c>
      <c r="F31" s="9">
        <v>12000</v>
      </c>
      <c r="G31" s="13" t="s">
        <v>220</v>
      </c>
      <c r="H31" s="9">
        <v>12000</v>
      </c>
      <c r="I31" s="13" t="s">
        <v>220</v>
      </c>
      <c r="J31" s="9">
        <v>59000</v>
      </c>
      <c r="K31" s="9">
        <v>20000</v>
      </c>
      <c r="L31" s="13" t="s">
        <v>191</v>
      </c>
      <c r="M31" s="9">
        <v>52000</v>
      </c>
      <c r="N31" s="13" t="s">
        <v>220</v>
      </c>
      <c r="O31" s="9">
        <v>10000</v>
      </c>
      <c r="P31" s="9">
        <v>42000</v>
      </c>
      <c r="Q31" s="9">
        <v>85000</v>
      </c>
    </row>
    <row r="32" spans="1:17" ht="12.45" customHeight="1">
      <c r="A32" s="15" t="s">
        <v>324</v>
      </c>
      <c r="B32" s="9">
        <v>215000</v>
      </c>
      <c r="C32" s="9">
        <v>168000</v>
      </c>
      <c r="D32" s="9">
        <v>147000</v>
      </c>
      <c r="E32" s="9">
        <v>21000</v>
      </c>
      <c r="F32" s="9">
        <v>17000</v>
      </c>
      <c r="G32" s="13" t="s">
        <v>191</v>
      </c>
      <c r="H32" s="9">
        <v>20000</v>
      </c>
      <c r="I32" s="13" t="s">
        <v>220</v>
      </c>
      <c r="J32" s="9">
        <v>110000</v>
      </c>
      <c r="K32" s="9">
        <v>14000</v>
      </c>
      <c r="L32" s="9">
        <v>5000</v>
      </c>
      <c r="M32" s="9">
        <v>42000</v>
      </c>
      <c r="N32" s="13" t="s">
        <v>220</v>
      </c>
      <c r="O32" s="9">
        <v>10000</v>
      </c>
      <c r="P32" s="9">
        <v>32000</v>
      </c>
      <c r="Q32" s="9">
        <v>100000</v>
      </c>
    </row>
    <row r="33" spans="1:17" ht="12.45" customHeight="1">
      <c r="A33" s="15" t="s">
        <v>325</v>
      </c>
      <c r="B33" s="9">
        <v>702000</v>
      </c>
      <c r="C33" s="9">
        <v>534000</v>
      </c>
      <c r="D33" s="9">
        <v>461000</v>
      </c>
      <c r="E33" s="9">
        <v>73000</v>
      </c>
      <c r="F33" s="9">
        <v>57000</v>
      </c>
      <c r="G33" s="9">
        <v>4000</v>
      </c>
      <c r="H33" s="9">
        <v>43000</v>
      </c>
      <c r="I33" s="13" t="s">
        <v>191</v>
      </c>
      <c r="J33" s="9">
        <v>361000</v>
      </c>
      <c r="K33" s="9">
        <v>63000</v>
      </c>
      <c r="L33" s="9">
        <v>29000</v>
      </c>
      <c r="M33" s="9">
        <v>139000</v>
      </c>
      <c r="N33" s="13" t="s">
        <v>220</v>
      </c>
      <c r="O33" s="9">
        <v>56000</v>
      </c>
      <c r="P33" s="9">
        <v>79000</v>
      </c>
      <c r="Q33" s="9">
        <v>88000</v>
      </c>
    </row>
    <row r="34" spans="1:17" ht="12.45" customHeight="1">
      <c r="A34" s="15" t="s">
        <v>462</v>
      </c>
      <c r="B34" s="9">
        <v>568000</v>
      </c>
      <c r="C34" s="9">
        <v>443000</v>
      </c>
      <c r="D34" s="9">
        <v>382000</v>
      </c>
      <c r="E34" s="9">
        <v>61000</v>
      </c>
      <c r="F34" s="9">
        <v>38000</v>
      </c>
      <c r="G34" s="13" t="s">
        <v>191</v>
      </c>
      <c r="H34" s="9">
        <v>66000</v>
      </c>
      <c r="I34" s="9">
        <v>19000</v>
      </c>
      <c r="J34" s="9">
        <v>277000</v>
      </c>
      <c r="K34" s="9">
        <v>37000</v>
      </c>
      <c r="L34" s="9">
        <v>17000</v>
      </c>
      <c r="M34" s="9">
        <v>108000</v>
      </c>
      <c r="N34" s="13" t="s">
        <v>220</v>
      </c>
      <c r="O34" s="9">
        <v>53000</v>
      </c>
      <c r="P34" s="9">
        <v>55000</v>
      </c>
      <c r="Q34" s="9">
        <v>74000</v>
      </c>
    </row>
    <row r="35" spans="1:17" ht="12.45" customHeight="1">
      <c r="A35" s="8" t="s">
        <v>463</v>
      </c>
      <c r="B35" s="9">
        <v>17096000</v>
      </c>
      <c r="C35" s="9">
        <v>7420000</v>
      </c>
      <c r="D35" s="9">
        <v>5018000</v>
      </c>
      <c r="E35" s="9">
        <v>2402000</v>
      </c>
      <c r="F35" s="9">
        <v>629000</v>
      </c>
      <c r="G35" s="9">
        <v>181000</v>
      </c>
      <c r="H35" s="9">
        <v>941000</v>
      </c>
      <c r="I35" s="9">
        <v>375000</v>
      </c>
      <c r="J35" s="9">
        <v>3449000</v>
      </c>
      <c r="K35" s="9">
        <v>1846000</v>
      </c>
      <c r="L35" s="9">
        <v>600000</v>
      </c>
      <c r="M35" s="9">
        <v>9075000</v>
      </c>
      <c r="N35" s="9">
        <v>34000</v>
      </c>
      <c r="O35" s="9">
        <v>8659000</v>
      </c>
      <c r="P35" s="9">
        <v>382000</v>
      </c>
      <c r="Q35" s="9">
        <v>85000</v>
      </c>
    </row>
    <row r="36" spans="1:17" ht="12.45" customHeight="1">
      <c r="A36" s="10" t="s">
        <v>282</v>
      </c>
      <c r="B36" s="9">
        <v>8085000</v>
      </c>
      <c r="C36" s="9">
        <v>3162000</v>
      </c>
      <c r="D36" s="9">
        <v>1979000</v>
      </c>
      <c r="E36" s="9">
        <v>1183000</v>
      </c>
      <c r="F36" s="9">
        <v>139000</v>
      </c>
      <c r="G36" s="9">
        <v>51000</v>
      </c>
      <c r="H36" s="9">
        <v>429000</v>
      </c>
      <c r="I36" s="9">
        <v>207000</v>
      </c>
      <c r="J36" s="9">
        <v>1411000</v>
      </c>
      <c r="K36" s="9">
        <v>925000</v>
      </c>
      <c r="L36" s="9">
        <v>222000</v>
      </c>
      <c r="M36" s="9">
        <v>4701000</v>
      </c>
      <c r="N36" s="13" t="s">
        <v>191</v>
      </c>
      <c r="O36" s="9">
        <v>4430000</v>
      </c>
      <c r="P36" s="9">
        <v>261000</v>
      </c>
      <c r="Q36" s="9">
        <v>72000</v>
      </c>
    </row>
    <row r="37" spans="1:17" ht="12.45" customHeight="1">
      <c r="A37" s="10" t="s">
        <v>283</v>
      </c>
      <c r="B37" s="9">
        <v>9011000</v>
      </c>
      <c r="C37" s="9">
        <v>4259000</v>
      </c>
      <c r="D37" s="9">
        <v>3040000</v>
      </c>
      <c r="E37" s="9">
        <v>1219000</v>
      </c>
      <c r="F37" s="9">
        <v>490000</v>
      </c>
      <c r="G37" s="9">
        <v>129000</v>
      </c>
      <c r="H37" s="9">
        <v>512000</v>
      </c>
      <c r="I37" s="9">
        <v>168000</v>
      </c>
      <c r="J37" s="9">
        <v>2038000</v>
      </c>
      <c r="K37" s="9">
        <v>921000</v>
      </c>
      <c r="L37" s="9">
        <v>378000</v>
      </c>
      <c r="M37" s="9">
        <v>4374000</v>
      </c>
      <c r="N37" s="9">
        <v>23000</v>
      </c>
      <c r="O37" s="9">
        <v>4230000</v>
      </c>
      <c r="P37" s="9">
        <v>121000</v>
      </c>
      <c r="Q37" s="9">
        <v>99000</v>
      </c>
    </row>
    <row r="38" spans="1:17" ht="12.45" customHeight="1">
      <c r="A38" s="10" t="s">
        <v>265</v>
      </c>
      <c r="B38" s="9">
        <v>888000</v>
      </c>
      <c r="C38" s="9">
        <v>408000</v>
      </c>
      <c r="D38" s="9">
        <v>314000</v>
      </c>
      <c r="E38" s="9">
        <v>94000</v>
      </c>
      <c r="F38" s="9">
        <v>31000</v>
      </c>
      <c r="G38" s="9">
        <v>7000</v>
      </c>
      <c r="H38" s="9">
        <v>72000</v>
      </c>
      <c r="I38" s="9">
        <v>13000</v>
      </c>
      <c r="J38" s="9">
        <v>211000</v>
      </c>
      <c r="K38" s="9">
        <v>73000</v>
      </c>
      <c r="L38" s="9">
        <v>54000</v>
      </c>
      <c r="M38" s="9">
        <v>426000</v>
      </c>
      <c r="N38" s="13" t="s">
        <v>220</v>
      </c>
      <c r="O38" s="9">
        <v>391000</v>
      </c>
      <c r="P38" s="9">
        <v>32000</v>
      </c>
      <c r="Q38" s="9">
        <v>88000</v>
      </c>
    </row>
    <row r="39" spans="1:17" ht="12.45" customHeight="1">
      <c r="A39" s="10" t="s">
        <v>266</v>
      </c>
      <c r="B39" s="53"/>
      <c r="C39" s="53"/>
      <c r="D39" s="53"/>
      <c r="E39" s="53"/>
      <c r="F39" s="53"/>
      <c r="G39" s="53"/>
      <c r="H39" s="53"/>
      <c r="I39" s="53"/>
      <c r="J39" s="53"/>
      <c r="K39" s="53"/>
      <c r="L39" s="53"/>
      <c r="M39" s="53"/>
      <c r="N39" s="53"/>
      <c r="O39" s="53"/>
      <c r="P39" s="53"/>
      <c r="Q39" s="53"/>
    </row>
  </sheetData>
  <mergeCells count="10">
    <mergeCell ref="A1:R1"/>
    <mergeCell ref="A3:A4"/>
    <mergeCell ref="B3:B4"/>
    <mergeCell ref="C3:E3"/>
    <mergeCell ref="F3:G3"/>
    <mergeCell ref="H3:I3"/>
    <mergeCell ref="J3:K3"/>
    <mergeCell ref="L3:L4"/>
    <mergeCell ref="M3:P3"/>
    <mergeCell ref="Q3:Q4"/>
  </mergeCell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0" tint="-0.249977111117893"/>
  </sheetPr>
  <dimension ref="A1:R23"/>
  <sheetViews>
    <sheetView workbookViewId="0">
      <selection sqref="A1:Z1"/>
    </sheetView>
  </sheetViews>
  <sheetFormatPr defaultRowHeight="13.2"/>
  <cols>
    <col min="1" max="1" width="81.44140625" customWidth="1"/>
    <col min="2" max="2" width="14.77734375" customWidth="1"/>
    <col min="3" max="3" width="14.6640625" customWidth="1"/>
    <col min="4" max="4" width="14.77734375" customWidth="1"/>
    <col min="5" max="5" width="13.109375" customWidth="1"/>
    <col min="6" max="6" width="18.109375" customWidth="1"/>
    <col min="7" max="7" width="16.77734375" customWidth="1"/>
    <col min="8" max="8" width="22.109375" customWidth="1"/>
    <col min="9" max="9" width="22" customWidth="1"/>
    <col min="10" max="10" width="20.77734375" customWidth="1"/>
    <col min="11" max="11" width="19.44140625" customWidth="1"/>
    <col min="12" max="12" width="16.77734375" customWidth="1"/>
    <col min="13" max="13" width="14.77734375" customWidth="1"/>
    <col min="14" max="14" width="11.33203125" customWidth="1"/>
    <col min="15" max="15" width="13.109375" customWidth="1"/>
    <col min="16" max="16" width="50.109375" customWidth="1"/>
    <col min="17" max="17" width="52.44140625" customWidth="1"/>
    <col min="18" max="18" width="2.44140625" customWidth="1"/>
  </cols>
  <sheetData>
    <row r="1" spans="1:18" ht="42.75" customHeight="1">
      <c r="A1" s="321" t="s">
        <v>444</v>
      </c>
      <c r="B1" s="321"/>
      <c r="C1" s="321"/>
      <c r="D1" s="321"/>
      <c r="E1" s="321"/>
      <c r="F1" s="321"/>
      <c r="G1" s="321"/>
      <c r="H1" s="321"/>
      <c r="I1" s="321"/>
      <c r="J1" s="321"/>
      <c r="K1" s="321"/>
      <c r="L1" s="321"/>
      <c r="M1" s="321"/>
      <c r="N1" s="321"/>
      <c r="O1" s="321"/>
      <c r="P1" s="321"/>
      <c r="Q1" s="321"/>
      <c r="R1" s="321"/>
    </row>
    <row r="2" spans="1:18" ht="16.2" customHeight="1">
      <c r="A2" s="339" t="s">
        <v>445</v>
      </c>
      <c r="B2" s="345" t="s">
        <v>167</v>
      </c>
      <c r="C2" s="400" t="s">
        <v>446</v>
      </c>
      <c r="D2" s="401"/>
      <c r="E2" s="402"/>
      <c r="F2" s="403" t="s">
        <v>447</v>
      </c>
      <c r="G2" s="404"/>
      <c r="H2" s="403" t="s">
        <v>448</v>
      </c>
      <c r="I2" s="404"/>
      <c r="J2" s="403" t="s">
        <v>449</v>
      </c>
      <c r="K2" s="404"/>
      <c r="L2" s="335" t="s">
        <v>169</v>
      </c>
      <c r="M2" s="405" t="s">
        <v>170</v>
      </c>
      <c r="N2" s="406"/>
      <c r="O2" s="406"/>
      <c r="P2" s="407"/>
      <c r="Q2" s="408" t="s">
        <v>450</v>
      </c>
    </row>
    <row r="3" spans="1:18" ht="13.95" customHeight="1">
      <c r="A3" s="341"/>
      <c r="B3" s="346"/>
      <c r="C3" s="41" t="s">
        <v>168</v>
      </c>
      <c r="D3" s="41" t="s">
        <v>451</v>
      </c>
      <c r="E3" s="5" t="s">
        <v>452</v>
      </c>
      <c r="F3" s="48" t="s">
        <v>451</v>
      </c>
      <c r="G3" s="41" t="s">
        <v>452</v>
      </c>
      <c r="H3" s="44" t="s">
        <v>451</v>
      </c>
      <c r="I3" s="44" t="s">
        <v>452</v>
      </c>
      <c r="J3" s="44" t="s">
        <v>451</v>
      </c>
      <c r="K3" s="48" t="s">
        <v>452</v>
      </c>
      <c r="L3" s="336"/>
      <c r="M3" s="23" t="s">
        <v>167</v>
      </c>
      <c r="N3" s="5" t="s">
        <v>453</v>
      </c>
      <c r="O3" s="41" t="s">
        <v>454</v>
      </c>
      <c r="P3" s="44" t="s">
        <v>455</v>
      </c>
      <c r="Q3" s="409"/>
    </row>
    <row r="4" spans="1:18" ht="12.45" customHeight="1">
      <c r="A4" s="18" t="s">
        <v>270</v>
      </c>
      <c r="B4" s="7">
        <v>52000</v>
      </c>
      <c r="C4" s="7">
        <v>17000</v>
      </c>
      <c r="D4" s="7">
        <v>10000</v>
      </c>
      <c r="E4" s="19" t="s">
        <v>191</v>
      </c>
      <c r="F4" s="7">
        <v>1000</v>
      </c>
      <c r="G4" s="19" t="s">
        <v>220</v>
      </c>
      <c r="H4" s="19" t="s">
        <v>191</v>
      </c>
      <c r="I4" s="19" t="s">
        <v>220</v>
      </c>
      <c r="J4" s="19" t="s">
        <v>191</v>
      </c>
      <c r="K4" s="19" t="s">
        <v>191</v>
      </c>
      <c r="L4" s="19" t="s">
        <v>220</v>
      </c>
      <c r="M4" s="7">
        <v>35000</v>
      </c>
      <c r="N4" s="19" t="s">
        <v>220</v>
      </c>
      <c r="O4" s="7">
        <v>35000</v>
      </c>
      <c r="P4" s="19" t="s">
        <v>220</v>
      </c>
      <c r="Q4" s="7">
        <v>46000</v>
      </c>
    </row>
    <row r="5" spans="1:18" ht="12.45" customHeight="1">
      <c r="A5" s="12" t="s">
        <v>271</v>
      </c>
      <c r="B5" s="9">
        <v>932000</v>
      </c>
      <c r="C5" s="9">
        <v>460000</v>
      </c>
      <c r="D5" s="9">
        <v>358000</v>
      </c>
      <c r="E5" s="9">
        <v>103000</v>
      </c>
      <c r="F5" s="9">
        <v>69000</v>
      </c>
      <c r="G5" s="9">
        <v>9000</v>
      </c>
      <c r="H5" s="9">
        <v>120000</v>
      </c>
      <c r="I5" s="9">
        <v>19000</v>
      </c>
      <c r="J5" s="9">
        <v>169000</v>
      </c>
      <c r="K5" s="9">
        <v>75000</v>
      </c>
      <c r="L5" s="9">
        <v>45000</v>
      </c>
      <c r="M5" s="9">
        <v>427000</v>
      </c>
      <c r="N5" s="13" t="s">
        <v>220</v>
      </c>
      <c r="O5" s="9">
        <v>401000</v>
      </c>
      <c r="P5" s="9">
        <v>24000</v>
      </c>
      <c r="Q5" s="9">
        <v>95000</v>
      </c>
    </row>
    <row r="6" spans="1:18" ht="12.45" customHeight="1">
      <c r="A6" s="12" t="s">
        <v>272</v>
      </c>
      <c r="B6" s="9">
        <v>1144000</v>
      </c>
      <c r="C6" s="9">
        <v>545000</v>
      </c>
      <c r="D6" s="9">
        <v>428000</v>
      </c>
      <c r="E6" s="9">
        <v>117000</v>
      </c>
      <c r="F6" s="9">
        <v>32000</v>
      </c>
      <c r="G6" s="9">
        <v>5000</v>
      </c>
      <c r="H6" s="9">
        <v>78000</v>
      </c>
      <c r="I6" s="9">
        <v>23000</v>
      </c>
      <c r="J6" s="9">
        <v>318000</v>
      </c>
      <c r="K6" s="9">
        <v>89000</v>
      </c>
      <c r="L6" s="9">
        <v>61000</v>
      </c>
      <c r="M6" s="9">
        <v>537000</v>
      </c>
      <c r="N6" s="13" t="s">
        <v>220</v>
      </c>
      <c r="O6" s="9">
        <v>467000</v>
      </c>
      <c r="P6" s="9">
        <v>61000</v>
      </c>
      <c r="Q6" s="9">
        <v>62000</v>
      </c>
    </row>
    <row r="7" spans="1:18" ht="12.45" customHeight="1">
      <c r="A7" s="12" t="s">
        <v>273</v>
      </c>
      <c r="B7" s="9">
        <v>28000</v>
      </c>
      <c r="C7" s="13" t="s">
        <v>191</v>
      </c>
      <c r="D7" s="13" t="s">
        <v>191</v>
      </c>
      <c r="E7" s="13" t="s">
        <v>220</v>
      </c>
      <c r="F7" s="13" t="s">
        <v>222</v>
      </c>
      <c r="G7" s="13" t="s">
        <v>220</v>
      </c>
      <c r="H7" s="13" t="s">
        <v>220</v>
      </c>
      <c r="I7" s="13" t="s">
        <v>220</v>
      </c>
      <c r="J7" s="13" t="s">
        <v>191</v>
      </c>
      <c r="K7" s="13" t="s">
        <v>220</v>
      </c>
      <c r="L7" s="13" t="s">
        <v>220</v>
      </c>
      <c r="M7" s="9">
        <v>11000</v>
      </c>
      <c r="N7" s="13" t="s">
        <v>220</v>
      </c>
      <c r="O7" s="9">
        <v>11000</v>
      </c>
      <c r="P7" s="13" t="s">
        <v>220</v>
      </c>
      <c r="Q7" s="13" t="s">
        <v>191</v>
      </c>
    </row>
    <row r="8" spans="1:18" ht="12.45" customHeight="1">
      <c r="A8" s="12" t="s">
        <v>274</v>
      </c>
      <c r="B8" s="9">
        <v>13832000</v>
      </c>
      <c r="C8" s="9">
        <v>5896000</v>
      </c>
      <c r="D8" s="9">
        <v>3836000</v>
      </c>
      <c r="E8" s="9">
        <v>2060000</v>
      </c>
      <c r="F8" s="9">
        <v>489000</v>
      </c>
      <c r="G8" s="9">
        <v>157000</v>
      </c>
      <c r="H8" s="9">
        <v>663000</v>
      </c>
      <c r="I8" s="9">
        <v>314000</v>
      </c>
      <c r="J8" s="9">
        <v>2684000</v>
      </c>
      <c r="K8" s="9">
        <v>1589000</v>
      </c>
      <c r="L8" s="9">
        <v>418000</v>
      </c>
      <c r="M8" s="9">
        <v>7518000</v>
      </c>
      <c r="N8" s="9">
        <v>20000</v>
      </c>
      <c r="O8" s="9">
        <v>7233000</v>
      </c>
      <c r="P8" s="9">
        <v>264000</v>
      </c>
      <c r="Q8" s="9">
        <v>88000</v>
      </c>
    </row>
    <row r="9" spans="1:18" ht="12.45" customHeight="1">
      <c r="A9" s="12" t="s">
        <v>275</v>
      </c>
      <c r="B9" s="9">
        <v>220000</v>
      </c>
      <c r="C9" s="9">
        <v>78000</v>
      </c>
      <c r="D9" s="9">
        <v>60000</v>
      </c>
      <c r="E9" s="9">
        <v>18000</v>
      </c>
      <c r="F9" s="9">
        <v>7000</v>
      </c>
      <c r="G9" s="9">
        <v>2000</v>
      </c>
      <c r="H9" s="13" t="s">
        <v>191</v>
      </c>
      <c r="I9" s="13" t="s">
        <v>191</v>
      </c>
      <c r="J9" s="9">
        <v>46000</v>
      </c>
      <c r="K9" s="9">
        <v>11000</v>
      </c>
      <c r="L9" s="9">
        <v>21000</v>
      </c>
      <c r="M9" s="9">
        <v>122000</v>
      </c>
      <c r="N9" s="13" t="s">
        <v>220</v>
      </c>
      <c r="O9" s="9">
        <v>121000</v>
      </c>
      <c r="P9" s="13" t="s">
        <v>220</v>
      </c>
      <c r="Q9" s="9">
        <v>110000</v>
      </c>
    </row>
    <row r="10" spans="1:18" ht="12.45" customHeight="1">
      <c r="A10" s="10" t="s">
        <v>267</v>
      </c>
      <c r="B10" s="9">
        <v>13246000</v>
      </c>
      <c r="C10" s="9">
        <v>6038000</v>
      </c>
      <c r="D10" s="9">
        <v>4146000</v>
      </c>
      <c r="E10" s="9">
        <v>1891000</v>
      </c>
      <c r="F10" s="9">
        <v>516000</v>
      </c>
      <c r="G10" s="9">
        <v>141000</v>
      </c>
      <c r="H10" s="9">
        <v>799000</v>
      </c>
      <c r="I10" s="9">
        <v>308000</v>
      </c>
      <c r="J10" s="9">
        <v>2832000</v>
      </c>
      <c r="K10" s="9">
        <v>1442000</v>
      </c>
      <c r="L10" s="9">
        <v>433000</v>
      </c>
      <c r="M10" s="9">
        <v>6776000</v>
      </c>
      <c r="N10" s="9">
        <v>27000</v>
      </c>
      <c r="O10" s="9">
        <v>6530000</v>
      </c>
      <c r="P10" s="9">
        <v>219000</v>
      </c>
      <c r="Q10" s="9">
        <v>88000</v>
      </c>
    </row>
    <row r="11" spans="1:18" ht="12.45" customHeight="1">
      <c r="A11" s="10" t="s">
        <v>268</v>
      </c>
      <c r="B11" s="9">
        <v>3849000</v>
      </c>
      <c r="C11" s="9">
        <v>1383000</v>
      </c>
      <c r="D11" s="9">
        <v>872000</v>
      </c>
      <c r="E11" s="9">
        <v>511000</v>
      </c>
      <c r="F11" s="9">
        <v>113000</v>
      </c>
      <c r="G11" s="9">
        <v>40000</v>
      </c>
      <c r="H11" s="9">
        <v>142000</v>
      </c>
      <c r="I11" s="9">
        <v>67000</v>
      </c>
      <c r="J11" s="9">
        <v>617000</v>
      </c>
      <c r="K11" s="9">
        <v>404000</v>
      </c>
      <c r="L11" s="9">
        <v>167000</v>
      </c>
      <c r="M11" s="9">
        <v>2299000</v>
      </c>
      <c r="N11" s="13" t="s">
        <v>220</v>
      </c>
      <c r="O11" s="9">
        <v>2129000</v>
      </c>
      <c r="P11" s="9">
        <v>164000</v>
      </c>
      <c r="Q11" s="9">
        <v>75000</v>
      </c>
    </row>
    <row r="12" spans="1:18" ht="12.45" customHeight="1">
      <c r="A12" s="12" t="s">
        <v>457</v>
      </c>
      <c r="B12" s="53"/>
      <c r="C12" s="53"/>
      <c r="D12" s="53"/>
      <c r="E12" s="53"/>
      <c r="F12" s="53"/>
      <c r="G12" s="53"/>
      <c r="H12" s="53"/>
      <c r="I12" s="53"/>
      <c r="J12" s="53"/>
      <c r="K12" s="53"/>
      <c r="L12" s="53"/>
      <c r="M12" s="53"/>
      <c r="N12" s="53"/>
      <c r="O12" s="53"/>
      <c r="P12" s="53"/>
      <c r="Q12" s="53"/>
    </row>
    <row r="13" spans="1:18" ht="12.45" customHeight="1">
      <c r="A13" s="15" t="s">
        <v>458</v>
      </c>
      <c r="B13" s="9">
        <v>139000</v>
      </c>
      <c r="C13" s="9">
        <v>37000</v>
      </c>
      <c r="D13" s="9">
        <v>21000</v>
      </c>
      <c r="E13" s="9">
        <v>16000</v>
      </c>
      <c r="F13" s="9">
        <v>5000</v>
      </c>
      <c r="G13" s="13" t="s">
        <v>220</v>
      </c>
      <c r="H13" s="13" t="s">
        <v>191</v>
      </c>
      <c r="I13" s="13" t="s">
        <v>220</v>
      </c>
      <c r="J13" s="9">
        <v>12000</v>
      </c>
      <c r="K13" s="13" t="s">
        <v>191</v>
      </c>
      <c r="L13" s="13" t="s">
        <v>191</v>
      </c>
      <c r="M13" s="9">
        <v>91000</v>
      </c>
      <c r="N13" s="13" t="s">
        <v>220</v>
      </c>
      <c r="O13" s="9">
        <v>79000</v>
      </c>
      <c r="P13" s="13" t="s">
        <v>191</v>
      </c>
      <c r="Q13" s="9">
        <v>90000</v>
      </c>
    </row>
    <row r="14" spans="1:18" ht="12.45" customHeight="1">
      <c r="A14" s="15" t="s">
        <v>459</v>
      </c>
      <c r="B14" s="9">
        <v>174000</v>
      </c>
      <c r="C14" s="9">
        <v>64000</v>
      </c>
      <c r="D14" s="9">
        <v>35000</v>
      </c>
      <c r="E14" s="9">
        <v>29000</v>
      </c>
      <c r="F14" s="9">
        <v>5000</v>
      </c>
      <c r="G14" s="9">
        <v>2000</v>
      </c>
      <c r="H14" s="9">
        <v>2000</v>
      </c>
      <c r="I14" s="13" t="s">
        <v>220</v>
      </c>
      <c r="J14" s="9">
        <v>28000</v>
      </c>
      <c r="K14" s="9">
        <v>24000</v>
      </c>
      <c r="L14" s="9">
        <v>2000</v>
      </c>
      <c r="M14" s="9">
        <v>108000</v>
      </c>
      <c r="N14" s="13" t="s">
        <v>220</v>
      </c>
      <c r="O14" s="9">
        <v>94000</v>
      </c>
      <c r="P14" s="13" t="s">
        <v>191</v>
      </c>
      <c r="Q14" s="9">
        <v>99000</v>
      </c>
    </row>
    <row r="15" spans="1:18" ht="12.45" customHeight="1">
      <c r="A15" s="15" t="s">
        <v>460</v>
      </c>
      <c r="B15" s="9">
        <v>295000</v>
      </c>
      <c r="C15" s="9">
        <v>129000</v>
      </c>
      <c r="D15" s="9">
        <v>73000</v>
      </c>
      <c r="E15" s="9">
        <v>56000</v>
      </c>
      <c r="F15" s="9">
        <v>10000</v>
      </c>
      <c r="G15" s="13" t="s">
        <v>191</v>
      </c>
      <c r="H15" s="9">
        <v>13000</v>
      </c>
      <c r="I15" s="13" t="s">
        <v>191</v>
      </c>
      <c r="J15" s="9">
        <v>50000</v>
      </c>
      <c r="K15" s="9">
        <v>50000</v>
      </c>
      <c r="L15" s="9">
        <v>18000</v>
      </c>
      <c r="M15" s="9">
        <v>148000</v>
      </c>
      <c r="N15" s="13" t="s">
        <v>220</v>
      </c>
      <c r="O15" s="9">
        <v>124000</v>
      </c>
      <c r="P15" s="9">
        <v>24000</v>
      </c>
      <c r="Q15" s="9">
        <v>75000</v>
      </c>
    </row>
    <row r="16" spans="1:18" ht="12.45" customHeight="1">
      <c r="A16" s="15" t="s">
        <v>461</v>
      </c>
      <c r="B16" s="9">
        <v>237000</v>
      </c>
      <c r="C16" s="9">
        <v>70000</v>
      </c>
      <c r="D16" s="9">
        <v>45000</v>
      </c>
      <c r="E16" s="9">
        <v>25000</v>
      </c>
      <c r="F16" s="13" t="s">
        <v>191</v>
      </c>
      <c r="G16" s="13" t="s">
        <v>220</v>
      </c>
      <c r="H16" s="9">
        <v>7000</v>
      </c>
      <c r="I16" s="13" t="s">
        <v>220</v>
      </c>
      <c r="J16" s="9">
        <v>29000</v>
      </c>
      <c r="K16" s="9">
        <v>25000</v>
      </c>
      <c r="L16" s="9">
        <v>19000</v>
      </c>
      <c r="M16" s="9">
        <v>148000</v>
      </c>
      <c r="N16" s="13" t="s">
        <v>220</v>
      </c>
      <c r="O16" s="9">
        <v>141000</v>
      </c>
      <c r="P16" s="9">
        <v>8000</v>
      </c>
      <c r="Q16" s="9">
        <v>98000</v>
      </c>
    </row>
    <row r="17" spans="1:18" ht="12.45" customHeight="1">
      <c r="A17" s="15" t="s">
        <v>324</v>
      </c>
      <c r="B17" s="9">
        <v>202000</v>
      </c>
      <c r="C17" s="9">
        <v>78000</v>
      </c>
      <c r="D17" s="9">
        <v>60000</v>
      </c>
      <c r="E17" s="9">
        <v>18000</v>
      </c>
      <c r="F17" s="9">
        <v>9000</v>
      </c>
      <c r="G17" s="13" t="s">
        <v>191</v>
      </c>
      <c r="H17" s="13" t="s">
        <v>191</v>
      </c>
      <c r="I17" s="13" t="s">
        <v>220</v>
      </c>
      <c r="J17" s="9">
        <v>44000</v>
      </c>
      <c r="K17" s="9">
        <v>17000</v>
      </c>
      <c r="L17" s="13" t="s">
        <v>191</v>
      </c>
      <c r="M17" s="9">
        <v>112000</v>
      </c>
      <c r="N17" s="13" t="s">
        <v>220</v>
      </c>
      <c r="O17" s="9">
        <v>107000</v>
      </c>
      <c r="P17" s="9">
        <v>6000</v>
      </c>
      <c r="Q17" s="9">
        <v>60000</v>
      </c>
    </row>
    <row r="18" spans="1:18" ht="12.45" customHeight="1">
      <c r="A18" s="15" t="s">
        <v>325</v>
      </c>
      <c r="B18" s="9">
        <v>431000</v>
      </c>
      <c r="C18" s="9">
        <v>169000</v>
      </c>
      <c r="D18" s="9">
        <v>109000</v>
      </c>
      <c r="E18" s="9">
        <v>60000</v>
      </c>
      <c r="F18" s="9">
        <v>18000</v>
      </c>
      <c r="G18" s="9">
        <v>8000</v>
      </c>
      <c r="H18" s="9">
        <v>25000</v>
      </c>
      <c r="I18" s="9">
        <v>9000</v>
      </c>
      <c r="J18" s="9">
        <v>67000</v>
      </c>
      <c r="K18" s="9">
        <v>43000</v>
      </c>
      <c r="L18" s="9">
        <v>20000</v>
      </c>
      <c r="M18" s="9">
        <v>242000</v>
      </c>
      <c r="N18" s="13" t="s">
        <v>220</v>
      </c>
      <c r="O18" s="9">
        <v>207000</v>
      </c>
      <c r="P18" s="9">
        <v>35000</v>
      </c>
      <c r="Q18" s="9">
        <v>83000</v>
      </c>
    </row>
    <row r="19" spans="1:18" ht="12.45" customHeight="1">
      <c r="A19" s="15" t="s">
        <v>462</v>
      </c>
      <c r="B19" s="9">
        <v>858000</v>
      </c>
      <c r="C19" s="9">
        <v>372000</v>
      </c>
      <c r="D19" s="9">
        <v>275000</v>
      </c>
      <c r="E19" s="9">
        <v>97000</v>
      </c>
      <c r="F19" s="9">
        <v>25000</v>
      </c>
      <c r="G19" s="9">
        <v>11000</v>
      </c>
      <c r="H19" s="9">
        <v>47000</v>
      </c>
      <c r="I19" s="9">
        <v>21000</v>
      </c>
      <c r="J19" s="9">
        <v>203000</v>
      </c>
      <c r="K19" s="9">
        <v>64000</v>
      </c>
      <c r="L19" s="9">
        <v>43000</v>
      </c>
      <c r="M19" s="9">
        <v>443000</v>
      </c>
      <c r="N19" s="13" t="s">
        <v>220</v>
      </c>
      <c r="O19" s="9">
        <v>402000</v>
      </c>
      <c r="P19" s="9">
        <v>36000</v>
      </c>
      <c r="Q19" s="9">
        <v>64000</v>
      </c>
    </row>
    <row r="20" spans="1:18" ht="12.45" customHeight="1">
      <c r="A20" s="79" t="s">
        <v>463</v>
      </c>
      <c r="B20" s="21">
        <v>1512000</v>
      </c>
      <c r="C20" s="21">
        <v>465000</v>
      </c>
      <c r="D20" s="21">
        <v>254000</v>
      </c>
      <c r="E20" s="21">
        <v>211000</v>
      </c>
      <c r="F20" s="21">
        <v>32000</v>
      </c>
      <c r="G20" s="21">
        <v>16000</v>
      </c>
      <c r="H20" s="21">
        <v>37000</v>
      </c>
      <c r="I20" s="21">
        <v>25000</v>
      </c>
      <c r="J20" s="21">
        <v>186000</v>
      </c>
      <c r="K20" s="21">
        <v>170000</v>
      </c>
      <c r="L20" s="21">
        <v>40000</v>
      </c>
      <c r="M20" s="21">
        <v>1007000</v>
      </c>
      <c r="N20" s="40" t="s">
        <v>220</v>
      </c>
      <c r="O20" s="21">
        <v>975000</v>
      </c>
      <c r="P20" s="21">
        <v>31000</v>
      </c>
      <c r="Q20" s="21">
        <v>75000</v>
      </c>
    </row>
    <row r="21" spans="1:18" ht="11.25" customHeight="1">
      <c r="A21" s="344" t="s">
        <v>224</v>
      </c>
      <c r="B21" s="344"/>
      <c r="C21" s="344"/>
      <c r="D21" s="344"/>
      <c r="E21" s="344"/>
      <c r="F21" s="344"/>
      <c r="G21" s="344"/>
      <c r="H21" s="344"/>
      <c r="I21" s="344"/>
      <c r="J21" s="344"/>
      <c r="K21" s="344"/>
      <c r="L21" s="344"/>
      <c r="M21" s="344"/>
      <c r="N21" s="344"/>
      <c r="O21" s="344"/>
      <c r="P21" s="344"/>
      <c r="Q21" s="344"/>
      <c r="R21" s="344"/>
    </row>
    <row r="22" spans="1:18" ht="117.45" customHeight="1">
      <c r="A22" s="321" t="s">
        <v>464</v>
      </c>
      <c r="B22" s="321"/>
      <c r="C22" s="321"/>
      <c r="D22" s="321"/>
      <c r="E22" s="321"/>
      <c r="F22" s="321"/>
      <c r="G22" s="321"/>
      <c r="H22" s="321"/>
      <c r="I22" s="321"/>
      <c r="J22" s="321"/>
      <c r="K22" s="321"/>
      <c r="L22" s="321"/>
      <c r="M22" s="321"/>
      <c r="N22" s="321"/>
      <c r="O22" s="321"/>
      <c r="P22" s="321"/>
      <c r="Q22" s="321"/>
      <c r="R22" s="321"/>
    </row>
    <row r="23" spans="1:18" ht="1.95" customHeight="1"/>
  </sheetData>
  <mergeCells count="12">
    <mergeCell ref="A21:R21"/>
    <mergeCell ref="A22:R22"/>
    <mergeCell ref="A1:R1"/>
    <mergeCell ref="A2:A3"/>
    <mergeCell ref="B2:B3"/>
    <mergeCell ref="C2:E2"/>
    <mergeCell ref="F2:G2"/>
    <mergeCell ref="H2:I2"/>
    <mergeCell ref="J2:K2"/>
    <mergeCell ref="L2:L3"/>
    <mergeCell ref="M2:P2"/>
    <mergeCell ref="Q2:Q3"/>
  </mergeCell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1" t="s">
        <v>465</v>
      </c>
      <c r="B1" s="321"/>
      <c r="C1" s="321"/>
      <c r="D1" s="321"/>
      <c r="E1" s="321"/>
      <c r="F1" s="321"/>
      <c r="G1" s="321"/>
      <c r="H1" s="321"/>
      <c r="I1" s="321"/>
      <c r="J1" s="321"/>
      <c r="K1" s="321"/>
      <c r="L1" s="321"/>
      <c r="M1" s="321"/>
      <c r="N1" s="321"/>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6" t="s">
        <v>387</v>
      </c>
      <c r="B5" s="7">
        <v>67925000</v>
      </c>
      <c r="C5" s="7">
        <v>35839000</v>
      </c>
      <c r="D5" s="7">
        <v>32086000</v>
      </c>
      <c r="E5" s="7">
        <v>6532000</v>
      </c>
      <c r="F5" s="7">
        <v>188000</v>
      </c>
      <c r="G5" s="7">
        <v>6721000</v>
      </c>
      <c r="H5" s="7">
        <v>5260000</v>
      </c>
      <c r="I5" s="7">
        <v>162000</v>
      </c>
      <c r="J5" s="7">
        <v>47485000</v>
      </c>
      <c r="K5" s="7">
        <v>1576000</v>
      </c>
      <c r="L5" s="7">
        <v>57934000</v>
      </c>
      <c r="M5" s="7">
        <v>9991000</v>
      </c>
    </row>
    <row r="6" spans="1:14" ht="12.45" customHeight="1">
      <c r="A6" s="8" t="s">
        <v>467</v>
      </c>
      <c r="B6" s="9">
        <v>44153000</v>
      </c>
      <c r="C6" s="9">
        <v>21594000</v>
      </c>
      <c r="D6" s="9">
        <v>22559000</v>
      </c>
      <c r="E6" s="9">
        <v>4608000</v>
      </c>
      <c r="F6" s="9">
        <v>107000</v>
      </c>
      <c r="G6" s="9">
        <v>4772000</v>
      </c>
      <c r="H6" s="9">
        <v>3618000</v>
      </c>
      <c r="I6" s="9">
        <v>128000</v>
      </c>
      <c r="J6" s="9">
        <v>29833000</v>
      </c>
      <c r="K6" s="9">
        <v>1087000</v>
      </c>
      <c r="L6" s="9">
        <v>39002000</v>
      </c>
      <c r="M6" s="9">
        <v>5151000</v>
      </c>
    </row>
    <row r="7" spans="1:14" ht="12.45" customHeight="1">
      <c r="A7" s="8" t="s">
        <v>468</v>
      </c>
      <c r="B7" s="9">
        <v>7611000</v>
      </c>
      <c r="C7" s="9">
        <v>4899000</v>
      </c>
      <c r="D7" s="9">
        <v>2711000</v>
      </c>
      <c r="E7" s="9">
        <v>699000</v>
      </c>
      <c r="F7" s="9">
        <v>19000</v>
      </c>
      <c r="G7" s="9">
        <v>703000</v>
      </c>
      <c r="H7" s="9">
        <v>491000</v>
      </c>
      <c r="I7" s="9">
        <v>7000</v>
      </c>
      <c r="J7" s="9">
        <v>5540000</v>
      </c>
      <c r="K7" s="9">
        <v>151000</v>
      </c>
      <c r="L7" s="9">
        <v>6424000</v>
      </c>
      <c r="M7" s="9">
        <v>1187000</v>
      </c>
    </row>
    <row r="8" spans="1:14" ht="12.45" customHeight="1">
      <c r="A8" s="8" t="s">
        <v>469</v>
      </c>
      <c r="B8" s="53"/>
      <c r="C8" s="53"/>
      <c r="D8" s="53"/>
      <c r="E8" s="53"/>
      <c r="F8" s="53"/>
      <c r="G8" s="53"/>
      <c r="H8" s="53"/>
      <c r="I8" s="53"/>
      <c r="J8" s="53"/>
      <c r="K8" s="53"/>
      <c r="L8" s="53"/>
      <c r="M8" s="53"/>
    </row>
    <row r="9" spans="1:14" ht="12.45" customHeight="1">
      <c r="A9" s="10" t="s">
        <v>470</v>
      </c>
      <c r="B9" s="9">
        <v>5874000</v>
      </c>
      <c r="C9" s="9">
        <v>3855000</v>
      </c>
      <c r="D9" s="9">
        <v>2019000</v>
      </c>
      <c r="E9" s="9">
        <v>419000</v>
      </c>
      <c r="F9" s="9">
        <v>15000</v>
      </c>
      <c r="G9" s="9">
        <v>473000</v>
      </c>
      <c r="H9" s="9">
        <v>279000</v>
      </c>
      <c r="I9" s="9">
        <v>6000</v>
      </c>
      <c r="J9" s="9">
        <v>4570000</v>
      </c>
      <c r="K9" s="9">
        <v>112000</v>
      </c>
      <c r="L9" s="9">
        <v>5011000</v>
      </c>
      <c r="M9" s="9">
        <v>863000</v>
      </c>
    </row>
    <row r="10" spans="1:14" ht="12.45" customHeight="1">
      <c r="A10" s="10" t="s">
        <v>471</v>
      </c>
      <c r="B10" s="9">
        <v>1737000</v>
      </c>
      <c r="C10" s="9">
        <v>1044000</v>
      </c>
      <c r="D10" s="9">
        <v>693000</v>
      </c>
      <c r="E10" s="9">
        <v>280000</v>
      </c>
      <c r="F10" s="9">
        <v>5000</v>
      </c>
      <c r="G10" s="9">
        <v>230000</v>
      </c>
      <c r="H10" s="9">
        <v>212000</v>
      </c>
      <c r="I10" s="9">
        <v>2000</v>
      </c>
      <c r="J10" s="9">
        <v>969000</v>
      </c>
      <c r="K10" s="9">
        <v>39000</v>
      </c>
      <c r="L10" s="9">
        <v>1413000</v>
      </c>
      <c r="M10" s="9">
        <v>324000</v>
      </c>
    </row>
    <row r="11" spans="1:14" ht="12.45" customHeight="1">
      <c r="A11" s="8" t="s">
        <v>472</v>
      </c>
      <c r="B11" s="53"/>
      <c r="C11" s="53"/>
      <c r="D11" s="53"/>
      <c r="E11" s="53"/>
      <c r="F11" s="53"/>
      <c r="G11" s="53"/>
      <c r="H11" s="53"/>
      <c r="I11" s="53"/>
      <c r="J11" s="53"/>
      <c r="K11" s="53"/>
      <c r="L11" s="53"/>
      <c r="M11" s="53"/>
    </row>
    <row r="12" spans="1:14" ht="12.45" customHeight="1">
      <c r="A12" s="10" t="s">
        <v>473</v>
      </c>
      <c r="B12" s="9">
        <v>3308000</v>
      </c>
      <c r="C12" s="9">
        <v>2263000</v>
      </c>
      <c r="D12" s="9">
        <v>1046000</v>
      </c>
      <c r="E12" s="9">
        <v>199000</v>
      </c>
      <c r="F12" s="13" t="s">
        <v>191</v>
      </c>
      <c r="G12" s="9">
        <v>202000</v>
      </c>
      <c r="H12" s="9">
        <v>134000</v>
      </c>
      <c r="I12" s="13" t="s">
        <v>220</v>
      </c>
      <c r="J12" s="9">
        <v>2679000</v>
      </c>
      <c r="K12" s="9">
        <v>83000</v>
      </c>
      <c r="L12" s="9">
        <v>2828000</v>
      </c>
      <c r="M12" s="9">
        <v>481000</v>
      </c>
    </row>
    <row r="13" spans="1:14" ht="12.45" customHeight="1">
      <c r="A13" s="10" t="s">
        <v>474</v>
      </c>
      <c r="B13" s="9">
        <v>2493000</v>
      </c>
      <c r="C13" s="9">
        <v>1942000</v>
      </c>
      <c r="D13" s="9">
        <v>551000</v>
      </c>
      <c r="E13" s="9">
        <v>260000</v>
      </c>
      <c r="F13" s="13" t="s">
        <v>191</v>
      </c>
      <c r="G13" s="9">
        <v>264000</v>
      </c>
      <c r="H13" s="9">
        <v>143000</v>
      </c>
      <c r="I13" s="13" t="s">
        <v>191</v>
      </c>
      <c r="J13" s="9">
        <v>1772000</v>
      </c>
      <c r="K13" s="9">
        <v>43000</v>
      </c>
      <c r="L13" s="9">
        <v>2191000</v>
      </c>
      <c r="M13" s="9">
        <v>302000</v>
      </c>
    </row>
    <row r="14" spans="1:14" ht="12.45" customHeight="1">
      <c r="A14" s="12" t="s">
        <v>475</v>
      </c>
      <c r="B14" s="9">
        <v>454000</v>
      </c>
      <c r="C14" s="9">
        <v>331000</v>
      </c>
      <c r="D14" s="9">
        <v>123000</v>
      </c>
      <c r="E14" s="9">
        <v>99000</v>
      </c>
      <c r="F14" s="13" t="s">
        <v>220</v>
      </c>
      <c r="G14" s="9">
        <v>50000</v>
      </c>
      <c r="H14" s="9">
        <v>30000</v>
      </c>
      <c r="I14" s="13" t="s">
        <v>191</v>
      </c>
      <c r="J14" s="9">
        <v>269000</v>
      </c>
      <c r="K14" s="9">
        <v>5000</v>
      </c>
      <c r="L14" s="9">
        <v>407000</v>
      </c>
      <c r="M14" s="9">
        <v>47000</v>
      </c>
    </row>
    <row r="15" spans="1:14" ht="12.45" customHeight="1">
      <c r="A15" s="12" t="s">
        <v>476</v>
      </c>
      <c r="B15" s="9">
        <v>1184000</v>
      </c>
      <c r="C15" s="9">
        <v>960000</v>
      </c>
      <c r="D15" s="9">
        <v>224000</v>
      </c>
      <c r="E15" s="9">
        <v>72000</v>
      </c>
      <c r="F15" s="13" t="s">
        <v>220</v>
      </c>
      <c r="G15" s="9">
        <v>114000</v>
      </c>
      <c r="H15" s="9">
        <v>60000</v>
      </c>
      <c r="I15" s="13" t="s">
        <v>220</v>
      </c>
      <c r="J15" s="9">
        <v>918000</v>
      </c>
      <c r="K15" s="9">
        <v>19000</v>
      </c>
      <c r="L15" s="9">
        <v>1048000</v>
      </c>
      <c r="M15" s="9">
        <v>136000</v>
      </c>
    </row>
    <row r="16" spans="1:14" ht="12.45" customHeight="1">
      <c r="A16" s="10" t="s">
        <v>477</v>
      </c>
      <c r="B16" s="9">
        <v>1611000</v>
      </c>
      <c r="C16" s="9">
        <v>1037000</v>
      </c>
      <c r="D16" s="9">
        <v>574000</v>
      </c>
      <c r="E16" s="9">
        <v>206000</v>
      </c>
      <c r="F16" s="9">
        <v>10000</v>
      </c>
      <c r="G16" s="9">
        <v>164000</v>
      </c>
      <c r="H16" s="9">
        <v>140000</v>
      </c>
      <c r="I16" s="9">
        <v>1000</v>
      </c>
      <c r="J16" s="9">
        <v>1047000</v>
      </c>
      <c r="K16" s="9">
        <v>44000</v>
      </c>
      <c r="L16" s="9">
        <v>1337000</v>
      </c>
      <c r="M16" s="9">
        <v>274000</v>
      </c>
    </row>
    <row r="17" spans="1:13" ht="12.45" customHeight="1">
      <c r="A17" s="12" t="s">
        <v>475</v>
      </c>
      <c r="B17" s="9">
        <v>581000</v>
      </c>
      <c r="C17" s="9">
        <v>333000</v>
      </c>
      <c r="D17" s="9">
        <v>249000</v>
      </c>
      <c r="E17" s="9">
        <v>80000</v>
      </c>
      <c r="F17" s="13" t="s">
        <v>191</v>
      </c>
      <c r="G17" s="9">
        <v>70000</v>
      </c>
      <c r="H17" s="9">
        <v>72000</v>
      </c>
      <c r="I17" s="13" t="s">
        <v>191</v>
      </c>
      <c r="J17" s="9">
        <v>328000</v>
      </c>
      <c r="K17" s="9">
        <v>28000</v>
      </c>
      <c r="L17" s="9">
        <v>497000</v>
      </c>
      <c r="M17" s="9">
        <v>84000</v>
      </c>
    </row>
    <row r="18" spans="1:13" ht="12.45" customHeight="1">
      <c r="A18" s="12" t="s">
        <v>476</v>
      </c>
      <c r="B18" s="9">
        <v>807000</v>
      </c>
      <c r="C18" s="9">
        <v>555000</v>
      </c>
      <c r="D18" s="9">
        <v>252000</v>
      </c>
      <c r="E18" s="9">
        <v>105000</v>
      </c>
      <c r="F18" s="13" t="s">
        <v>191</v>
      </c>
      <c r="G18" s="9">
        <v>73000</v>
      </c>
      <c r="H18" s="9">
        <v>53000</v>
      </c>
      <c r="I18" s="13" t="s">
        <v>220</v>
      </c>
      <c r="J18" s="9">
        <v>558000</v>
      </c>
      <c r="K18" s="9">
        <v>12000</v>
      </c>
      <c r="L18" s="9">
        <v>663000</v>
      </c>
      <c r="M18" s="9">
        <v>144000</v>
      </c>
    </row>
    <row r="19" spans="1:13" ht="12.45" customHeight="1">
      <c r="A19" s="10" t="s">
        <v>478</v>
      </c>
      <c r="B19" s="9">
        <v>982000</v>
      </c>
      <c r="C19" s="9">
        <v>666000</v>
      </c>
      <c r="D19" s="9">
        <v>316000</v>
      </c>
      <c r="E19" s="9">
        <v>106000</v>
      </c>
      <c r="F19" s="13" t="s">
        <v>191</v>
      </c>
      <c r="G19" s="9">
        <v>92000</v>
      </c>
      <c r="H19" s="9">
        <v>55000</v>
      </c>
      <c r="I19" s="13" t="s">
        <v>220</v>
      </c>
      <c r="J19" s="9">
        <v>710000</v>
      </c>
      <c r="K19" s="9">
        <v>17000</v>
      </c>
      <c r="L19" s="9">
        <v>859000</v>
      </c>
      <c r="M19" s="9">
        <v>122000</v>
      </c>
    </row>
    <row r="20" spans="1:13" ht="12.45" customHeight="1">
      <c r="A20" s="10" t="s">
        <v>479</v>
      </c>
      <c r="B20" s="9">
        <v>2413000</v>
      </c>
      <c r="C20" s="9">
        <v>1494000</v>
      </c>
      <c r="D20" s="9">
        <v>920000</v>
      </c>
      <c r="E20" s="9">
        <v>226000</v>
      </c>
      <c r="F20" s="9">
        <v>9000</v>
      </c>
      <c r="G20" s="9">
        <v>220000</v>
      </c>
      <c r="H20" s="9">
        <v>192000</v>
      </c>
      <c r="I20" s="9">
        <v>1000</v>
      </c>
      <c r="J20" s="9">
        <v>1706000</v>
      </c>
      <c r="K20" s="9">
        <v>58000</v>
      </c>
      <c r="L20" s="9">
        <v>2009000</v>
      </c>
      <c r="M20" s="9">
        <v>404000</v>
      </c>
    </row>
    <row r="21" spans="1:13" ht="12.45" customHeight="1">
      <c r="A21" s="12" t="s">
        <v>475</v>
      </c>
      <c r="B21" s="9">
        <v>1311000</v>
      </c>
      <c r="C21" s="9">
        <v>851000</v>
      </c>
      <c r="D21" s="9">
        <v>460000</v>
      </c>
      <c r="E21" s="9">
        <v>163000</v>
      </c>
      <c r="F21" s="9">
        <v>6000</v>
      </c>
      <c r="G21" s="9">
        <v>97000</v>
      </c>
      <c r="H21" s="9">
        <v>106000</v>
      </c>
      <c r="I21" s="9">
        <v>1000</v>
      </c>
      <c r="J21" s="9">
        <v>895000</v>
      </c>
      <c r="K21" s="9">
        <v>44000</v>
      </c>
      <c r="L21" s="9">
        <v>1088000</v>
      </c>
      <c r="M21" s="9">
        <v>223000</v>
      </c>
    </row>
    <row r="22" spans="1:13" ht="12.45" customHeight="1">
      <c r="A22" s="12" t="s">
        <v>476</v>
      </c>
      <c r="B22" s="9">
        <v>812000</v>
      </c>
      <c r="C22" s="9">
        <v>459000</v>
      </c>
      <c r="D22" s="9">
        <v>353000</v>
      </c>
      <c r="E22" s="9">
        <v>35000</v>
      </c>
      <c r="F22" s="13" t="s">
        <v>220</v>
      </c>
      <c r="G22" s="9">
        <v>87000</v>
      </c>
      <c r="H22" s="9">
        <v>39000</v>
      </c>
      <c r="I22" s="13" t="s">
        <v>220</v>
      </c>
      <c r="J22" s="9">
        <v>640000</v>
      </c>
      <c r="K22" s="9">
        <v>8000</v>
      </c>
      <c r="L22" s="9">
        <v>677000</v>
      </c>
      <c r="M22" s="9">
        <v>135000</v>
      </c>
    </row>
    <row r="23" spans="1:13" ht="12.45" customHeight="1">
      <c r="A23" s="10" t="s">
        <v>480</v>
      </c>
      <c r="B23" s="9">
        <v>1828000</v>
      </c>
      <c r="C23" s="9">
        <v>849000</v>
      </c>
      <c r="D23" s="9">
        <v>979000</v>
      </c>
      <c r="E23" s="9">
        <v>94000</v>
      </c>
      <c r="F23" s="13" t="s">
        <v>191</v>
      </c>
      <c r="G23" s="9">
        <v>67000</v>
      </c>
      <c r="H23" s="9">
        <v>92000</v>
      </c>
      <c r="I23" s="13" t="s">
        <v>220</v>
      </c>
      <c r="J23" s="9">
        <v>1554000</v>
      </c>
      <c r="K23" s="9">
        <v>13000</v>
      </c>
      <c r="L23" s="9">
        <v>1434000</v>
      </c>
      <c r="M23" s="9">
        <v>394000</v>
      </c>
    </row>
    <row r="24" spans="1:13" ht="12.45" customHeight="1">
      <c r="A24" s="10" t="s">
        <v>481</v>
      </c>
      <c r="B24" s="9">
        <v>762000</v>
      </c>
      <c r="C24" s="9">
        <v>462000</v>
      </c>
      <c r="D24" s="9">
        <v>299000</v>
      </c>
      <c r="E24" s="9">
        <v>107000</v>
      </c>
      <c r="F24" s="13" t="s">
        <v>191</v>
      </c>
      <c r="G24" s="9">
        <v>136000</v>
      </c>
      <c r="H24" s="9">
        <v>123000</v>
      </c>
      <c r="I24" s="13" t="s">
        <v>191</v>
      </c>
      <c r="J24" s="9">
        <v>372000</v>
      </c>
      <c r="K24" s="9">
        <v>21000</v>
      </c>
      <c r="L24" s="9">
        <v>632000</v>
      </c>
      <c r="M24" s="9">
        <v>130000</v>
      </c>
    </row>
    <row r="25" spans="1:13" ht="12.45" customHeight="1">
      <c r="A25" s="10" t="s">
        <v>482</v>
      </c>
      <c r="B25" s="9">
        <v>955000</v>
      </c>
      <c r="C25" s="9">
        <v>604000</v>
      </c>
      <c r="D25" s="9">
        <v>351000</v>
      </c>
      <c r="E25" s="9">
        <v>113000</v>
      </c>
      <c r="F25" s="13" t="s">
        <v>222</v>
      </c>
      <c r="G25" s="9">
        <v>132000</v>
      </c>
      <c r="H25" s="9">
        <v>82000</v>
      </c>
      <c r="I25" s="13" t="s">
        <v>220</v>
      </c>
      <c r="J25" s="9">
        <v>613000</v>
      </c>
      <c r="K25" s="9">
        <v>14000</v>
      </c>
      <c r="L25" s="9">
        <v>713000</v>
      </c>
      <c r="M25" s="9">
        <v>242000</v>
      </c>
    </row>
    <row r="26" spans="1:13" ht="12.45" customHeight="1">
      <c r="A26" s="10" t="s">
        <v>483</v>
      </c>
      <c r="B26" s="9">
        <v>13821000</v>
      </c>
      <c r="C26" s="9">
        <v>8173000</v>
      </c>
      <c r="D26" s="9">
        <v>5648000</v>
      </c>
      <c r="E26" s="9">
        <v>946000</v>
      </c>
      <c r="F26" s="9">
        <v>48000</v>
      </c>
      <c r="G26" s="9">
        <v>937000</v>
      </c>
      <c r="H26" s="9">
        <v>824000</v>
      </c>
      <c r="I26" s="9">
        <v>23000</v>
      </c>
      <c r="J26" s="9">
        <v>10810000</v>
      </c>
      <c r="K26" s="9">
        <v>233000</v>
      </c>
      <c r="L26" s="9">
        <v>10569000</v>
      </c>
      <c r="M26" s="9">
        <v>3252000</v>
      </c>
    </row>
    <row r="27" spans="1:13" ht="12.45" customHeight="1">
      <c r="A27" s="10" t="s">
        <v>484</v>
      </c>
      <c r="B27" s="9">
        <v>2340000</v>
      </c>
      <c r="C27" s="9">
        <v>1173000</v>
      </c>
      <c r="D27" s="9">
        <v>1167000</v>
      </c>
      <c r="E27" s="9">
        <v>279000</v>
      </c>
      <c r="F27" s="13" t="s">
        <v>191</v>
      </c>
      <c r="G27" s="9">
        <v>310000</v>
      </c>
      <c r="H27" s="9">
        <v>327000</v>
      </c>
      <c r="I27" s="13" t="s">
        <v>191</v>
      </c>
      <c r="J27" s="9">
        <v>1303000</v>
      </c>
      <c r="K27" s="9">
        <v>104000</v>
      </c>
      <c r="L27" s="9">
        <v>1939000</v>
      </c>
      <c r="M27" s="9">
        <v>401000</v>
      </c>
    </row>
    <row r="28" spans="1:13" ht="12.45" customHeight="1">
      <c r="A28" s="8" t="s">
        <v>485</v>
      </c>
      <c r="B28" s="53"/>
      <c r="C28" s="53"/>
      <c r="D28" s="53"/>
      <c r="E28" s="53"/>
      <c r="F28" s="53"/>
      <c r="G28" s="53"/>
      <c r="H28" s="53"/>
      <c r="I28" s="53"/>
      <c r="J28" s="53"/>
      <c r="K28" s="53"/>
      <c r="L28" s="53"/>
      <c r="M28" s="53"/>
    </row>
    <row r="29" spans="1:13" ht="12.45" customHeight="1">
      <c r="A29" s="10" t="s">
        <v>486</v>
      </c>
      <c r="B29" s="9">
        <v>1160000</v>
      </c>
      <c r="C29" s="9">
        <v>612000</v>
      </c>
      <c r="D29" s="9">
        <v>548000</v>
      </c>
      <c r="E29" s="9">
        <v>112000</v>
      </c>
      <c r="F29" s="9">
        <v>22000</v>
      </c>
      <c r="G29" s="9">
        <v>60000</v>
      </c>
      <c r="H29" s="9">
        <v>157000</v>
      </c>
      <c r="I29" s="13" t="s">
        <v>220</v>
      </c>
      <c r="J29" s="9">
        <v>761000</v>
      </c>
      <c r="K29" s="9">
        <v>48000</v>
      </c>
      <c r="L29" s="9">
        <v>273000</v>
      </c>
      <c r="M29" s="9">
        <v>887000</v>
      </c>
    </row>
    <row r="30" spans="1:13" ht="12.45" customHeight="1">
      <c r="A30" s="10" t="s">
        <v>487</v>
      </c>
      <c r="B30" s="9">
        <v>3293000</v>
      </c>
      <c r="C30" s="9">
        <v>2154000</v>
      </c>
      <c r="D30" s="9">
        <v>1138000</v>
      </c>
      <c r="E30" s="9">
        <v>196000</v>
      </c>
      <c r="F30" s="9">
        <v>9000</v>
      </c>
      <c r="G30" s="9">
        <v>209000</v>
      </c>
      <c r="H30" s="9">
        <v>180000</v>
      </c>
      <c r="I30" s="13" t="s">
        <v>191</v>
      </c>
      <c r="J30" s="9">
        <v>2622000</v>
      </c>
      <c r="K30" s="9">
        <v>65000</v>
      </c>
      <c r="L30" s="9">
        <v>2646000</v>
      </c>
      <c r="M30" s="9">
        <v>647000</v>
      </c>
    </row>
    <row r="31" spans="1:13" ht="12.45" customHeight="1">
      <c r="A31" s="10" t="s">
        <v>488</v>
      </c>
      <c r="B31" s="9">
        <v>2700000</v>
      </c>
      <c r="C31" s="9">
        <v>2192000</v>
      </c>
      <c r="D31" s="9">
        <v>508000</v>
      </c>
      <c r="E31" s="9">
        <v>324000</v>
      </c>
      <c r="F31" s="13" t="s">
        <v>191</v>
      </c>
      <c r="G31" s="9">
        <v>270000</v>
      </c>
      <c r="H31" s="9">
        <v>194000</v>
      </c>
      <c r="I31" s="13" t="s">
        <v>191</v>
      </c>
      <c r="J31" s="9">
        <v>1822000</v>
      </c>
      <c r="K31" s="9">
        <v>75000</v>
      </c>
      <c r="L31" s="9">
        <v>2293000</v>
      </c>
      <c r="M31" s="9">
        <v>407000</v>
      </c>
    </row>
    <row r="32" spans="1:13" ht="12.45" customHeight="1">
      <c r="A32" s="12" t="s">
        <v>475</v>
      </c>
      <c r="B32" s="9">
        <v>661000</v>
      </c>
      <c r="C32" s="9">
        <v>510000</v>
      </c>
      <c r="D32" s="9">
        <v>151000</v>
      </c>
      <c r="E32" s="9">
        <v>136000</v>
      </c>
      <c r="F32" s="13" t="s">
        <v>191</v>
      </c>
      <c r="G32" s="9">
        <v>68000</v>
      </c>
      <c r="H32" s="9">
        <v>86000</v>
      </c>
      <c r="I32" s="13" t="s">
        <v>191</v>
      </c>
      <c r="J32" s="9">
        <v>355000</v>
      </c>
      <c r="K32" s="9">
        <v>12000</v>
      </c>
      <c r="L32" s="9">
        <v>537000</v>
      </c>
      <c r="M32" s="9">
        <v>124000</v>
      </c>
    </row>
    <row r="33" spans="1:13" ht="12.45" customHeight="1">
      <c r="A33" s="12" t="s">
        <v>476</v>
      </c>
      <c r="B33" s="9">
        <v>1592000</v>
      </c>
      <c r="C33" s="9">
        <v>1361000</v>
      </c>
      <c r="D33" s="9">
        <v>231000</v>
      </c>
      <c r="E33" s="9">
        <v>141000</v>
      </c>
      <c r="F33" s="13" t="s">
        <v>220</v>
      </c>
      <c r="G33" s="9">
        <v>147000</v>
      </c>
      <c r="H33" s="9">
        <v>66000</v>
      </c>
      <c r="I33" s="13" t="s">
        <v>220</v>
      </c>
      <c r="J33" s="9">
        <v>1189000</v>
      </c>
      <c r="K33" s="9">
        <v>48000</v>
      </c>
      <c r="L33" s="9">
        <v>1403000</v>
      </c>
      <c r="M33" s="9">
        <v>189000</v>
      </c>
    </row>
    <row r="34" spans="1:13" ht="12.45" customHeight="1">
      <c r="A34" s="10" t="s">
        <v>489</v>
      </c>
      <c r="B34" s="9">
        <v>2205000</v>
      </c>
      <c r="C34" s="9">
        <v>1081000</v>
      </c>
      <c r="D34" s="9">
        <v>1124000</v>
      </c>
      <c r="E34" s="9">
        <v>333000</v>
      </c>
      <c r="F34" s="13" t="s">
        <v>191</v>
      </c>
      <c r="G34" s="9">
        <v>249000</v>
      </c>
      <c r="H34" s="9">
        <v>277000</v>
      </c>
      <c r="I34" s="13" t="s">
        <v>191</v>
      </c>
      <c r="J34" s="9">
        <v>1275000</v>
      </c>
      <c r="K34" s="9">
        <v>56000</v>
      </c>
      <c r="L34" s="9">
        <v>1785000</v>
      </c>
      <c r="M34" s="9">
        <v>420000</v>
      </c>
    </row>
    <row r="35" spans="1:13" ht="12.45" customHeight="1">
      <c r="A35" s="12" t="s">
        <v>475</v>
      </c>
      <c r="B35" s="9">
        <v>1517000</v>
      </c>
      <c r="C35" s="9">
        <v>790000</v>
      </c>
      <c r="D35" s="9">
        <v>727000</v>
      </c>
      <c r="E35" s="9">
        <v>246000</v>
      </c>
      <c r="F35" s="13" t="s">
        <v>191</v>
      </c>
      <c r="G35" s="9">
        <v>163000</v>
      </c>
      <c r="H35" s="9">
        <v>184000</v>
      </c>
      <c r="I35" s="13" t="s">
        <v>220</v>
      </c>
      <c r="J35" s="9">
        <v>885000</v>
      </c>
      <c r="K35" s="9">
        <v>34000</v>
      </c>
      <c r="L35" s="9">
        <v>1225000</v>
      </c>
      <c r="M35" s="9">
        <v>292000</v>
      </c>
    </row>
    <row r="36" spans="1:13" ht="12.45" customHeight="1">
      <c r="A36" s="12" t="s">
        <v>476</v>
      </c>
      <c r="B36" s="9">
        <v>585000</v>
      </c>
      <c r="C36" s="9">
        <v>234000</v>
      </c>
      <c r="D36" s="9">
        <v>351000</v>
      </c>
      <c r="E36" s="9">
        <v>76000</v>
      </c>
      <c r="F36" s="13" t="s">
        <v>191</v>
      </c>
      <c r="G36" s="9">
        <v>66000</v>
      </c>
      <c r="H36" s="9">
        <v>71000</v>
      </c>
      <c r="I36" s="13" t="s">
        <v>220</v>
      </c>
      <c r="J36" s="9">
        <v>342000</v>
      </c>
      <c r="K36" s="9">
        <v>20000</v>
      </c>
      <c r="L36" s="9">
        <v>495000</v>
      </c>
      <c r="M36" s="9">
        <v>90000</v>
      </c>
    </row>
    <row r="37" spans="1:13" ht="12.45" customHeight="1">
      <c r="A37" s="10" t="s">
        <v>490</v>
      </c>
      <c r="B37" s="9">
        <v>9628000</v>
      </c>
      <c r="C37" s="9">
        <v>4967000</v>
      </c>
      <c r="D37" s="9">
        <v>4661000</v>
      </c>
      <c r="E37" s="9">
        <v>468000</v>
      </c>
      <c r="F37" s="9">
        <v>36000</v>
      </c>
      <c r="G37" s="9">
        <v>471000</v>
      </c>
      <c r="H37" s="9">
        <v>559000</v>
      </c>
      <c r="I37" s="9">
        <v>16000</v>
      </c>
      <c r="J37" s="9">
        <v>7944000</v>
      </c>
      <c r="K37" s="9">
        <v>135000</v>
      </c>
      <c r="L37" s="9">
        <v>7224000</v>
      </c>
      <c r="M37" s="9">
        <v>2404000</v>
      </c>
    </row>
    <row r="38" spans="1:13" ht="12.45" customHeight="1">
      <c r="A38" s="10" t="s">
        <v>491</v>
      </c>
      <c r="B38" s="9">
        <v>681000</v>
      </c>
      <c r="C38" s="9">
        <v>363000</v>
      </c>
      <c r="D38" s="9">
        <v>318000</v>
      </c>
      <c r="E38" s="9">
        <v>110000</v>
      </c>
      <c r="F38" s="13" t="s">
        <v>191</v>
      </c>
      <c r="G38" s="9">
        <v>110000</v>
      </c>
      <c r="H38" s="9">
        <v>62000</v>
      </c>
      <c r="I38" s="13" t="s">
        <v>220</v>
      </c>
      <c r="J38" s="9">
        <v>368000</v>
      </c>
      <c r="K38" s="9">
        <v>19000</v>
      </c>
      <c r="L38" s="9">
        <v>585000</v>
      </c>
      <c r="M38" s="9">
        <v>96000</v>
      </c>
    </row>
    <row r="39" spans="1:13" ht="12.45" customHeight="1">
      <c r="A39" s="10" t="s">
        <v>492</v>
      </c>
      <c r="B39" s="9">
        <v>1677000</v>
      </c>
      <c r="C39" s="9">
        <v>1015000</v>
      </c>
      <c r="D39" s="9">
        <v>662000</v>
      </c>
      <c r="E39" s="9">
        <v>168000</v>
      </c>
      <c r="F39" s="13" t="s">
        <v>191</v>
      </c>
      <c r="G39" s="9">
        <v>206000</v>
      </c>
      <c r="H39" s="9">
        <v>193000</v>
      </c>
      <c r="I39" s="13" t="s">
        <v>220</v>
      </c>
      <c r="J39" s="9">
        <v>986000</v>
      </c>
      <c r="K39" s="9">
        <v>111000</v>
      </c>
      <c r="L39" s="9">
        <v>1351000</v>
      </c>
      <c r="M39" s="9">
        <v>326000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1" t="s">
        <v>465</v>
      </c>
      <c r="B1" s="321"/>
      <c r="C1" s="321"/>
      <c r="D1" s="321"/>
      <c r="E1" s="321"/>
      <c r="F1" s="321"/>
      <c r="G1" s="321"/>
      <c r="H1" s="321"/>
      <c r="I1" s="321"/>
      <c r="J1" s="321"/>
      <c r="K1" s="321"/>
      <c r="L1" s="321"/>
      <c r="M1" s="321"/>
      <c r="N1" s="321"/>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4" t="s">
        <v>493</v>
      </c>
      <c r="B5" s="7">
        <v>822000</v>
      </c>
      <c r="C5" s="7">
        <v>480000</v>
      </c>
      <c r="D5" s="7">
        <v>342000</v>
      </c>
      <c r="E5" s="7">
        <v>102000</v>
      </c>
      <c r="F5" s="19" t="s">
        <v>191</v>
      </c>
      <c r="G5" s="7">
        <v>126000</v>
      </c>
      <c r="H5" s="7">
        <v>80000</v>
      </c>
      <c r="I5" s="19" t="s">
        <v>220</v>
      </c>
      <c r="J5" s="7">
        <v>484000</v>
      </c>
      <c r="K5" s="7">
        <v>24000</v>
      </c>
      <c r="L5" s="7">
        <v>663000</v>
      </c>
      <c r="M5" s="7">
        <v>159000</v>
      </c>
    </row>
    <row r="6" spans="1:14" ht="12.45" customHeight="1">
      <c r="A6" s="8" t="s">
        <v>174</v>
      </c>
      <c r="B6" s="9">
        <v>9640000</v>
      </c>
      <c r="C6" s="9">
        <v>2908000</v>
      </c>
      <c r="D6" s="9">
        <v>6732000</v>
      </c>
      <c r="E6" s="9">
        <v>796000</v>
      </c>
      <c r="F6" s="9">
        <v>13000</v>
      </c>
      <c r="G6" s="9">
        <v>1939000</v>
      </c>
      <c r="H6" s="9">
        <v>464000</v>
      </c>
      <c r="I6" s="9">
        <v>21000</v>
      </c>
      <c r="J6" s="9">
        <v>6206000</v>
      </c>
      <c r="K6" s="9">
        <v>201000</v>
      </c>
      <c r="L6" s="9">
        <v>8407000</v>
      </c>
      <c r="M6" s="9">
        <v>1233000</v>
      </c>
    </row>
    <row r="7" spans="1:14" ht="12.45" customHeight="1">
      <c r="A7" s="10" t="s">
        <v>467</v>
      </c>
      <c r="B7" s="9">
        <v>7230000</v>
      </c>
      <c r="C7" s="9">
        <v>1998000</v>
      </c>
      <c r="D7" s="9">
        <v>5232000</v>
      </c>
      <c r="E7" s="9">
        <v>636000</v>
      </c>
      <c r="F7" s="9">
        <v>9000</v>
      </c>
      <c r="G7" s="9">
        <v>1536000</v>
      </c>
      <c r="H7" s="9">
        <v>369000</v>
      </c>
      <c r="I7" s="9">
        <v>15000</v>
      </c>
      <c r="J7" s="9">
        <v>4505000</v>
      </c>
      <c r="K7" s="9">
        <v>161000</v>
      </c>
      <c r="L7" s="9">
        <v>6438000</v>
      </c>
      <c r="M7" s="9">
        <v>792000</v>
      </c>
    </row>
    <row r="8" spans="1:14" ht="12.45" customHeight="1">
      <c r="A8" s="10" t="s">
        <v>468</v>
      </c>
      <c r="B8" s="9">
        <v>664000</v>
      </c>
      <c r="C8" s="9">
        <v>302000</v>
      </c>
      <c r="D8" s="9">
        <v>361000</v>
      </c>
      <c r="E8" s="9">
        <v>56000</v>
      </c>
      <c r="F8" s="13" t="s">
        <v>191</v>
      </c>
      <c r="G8" s="9">
        <v>129000</v>
      </c>
      <c r="H8" s="9">
        <v>30000</v>
      </c>
      <c r="I8" s="13" t="s">
        <v>191</v>
      </c>
      <c r="J8" s="9">
        <v>438000</v>
      </c>
      <c r="K8" s="9">
        <v>9000</v>
      </c>
      <c r="L8" s="9">
        <v>567000</v>
      </c>
      <c r="M8" s="9">
        <v>96000</v>
      </c>
    </row>
    <row r="9" spans="1:14" ht="12.45" customHeight="1">
      <c r="A9" s="10" t="s">
        <v>469</v>
      </c>
      <c r="B9" s="53"/>
      <c r="C9" s="53"/>
      <c r="D9" s="53"/>
      <c r="E9" s="53"/>
      <c r="F9" s="53"/>
      <c r="G9" s="53"/>
      <c r="H9" s="53"/>
      <c r="I9" s="53"/>
      <c r="J9" s="53"/>
      <c r="K9" s="53"/>
      <c r="L9" s="53"/>
      <c r="M9" s="53"/>
    </row>
    <row r="10" spans="1:14" ht="12.45" customHeight="1">
      <c r="A10" s="12" t="s">
        <v>470</v>
      </c>
      <c r="B10" s="9">
        <v>481000</v>
      </c>
      <c r="C10" s="9">
        <v>224000</v>
      </c>
      <c r="D10" s="9">
        <v>257000</v>
      </c>
      <c r="E10" s="9">
        <v>39000</v>
      </c>
      <c r="F10" s="13" t="s">
        <v>220</v>
      </c>
      <c r="G10" s="9">
        <v>77000</v>
      </c>
      <c r="H10" s="9">
        <v>15000</v>
      </c>
      <c r="I10" s="13" t="s">
        <v>220</v>
      </c>
      <c r="J10" s="9">
        <v>344000</v>
      </c>
      <c r="K10" s="9">
        <v>6000</v>
      </c>
      <c r="L10" s="9">
        <v>411000</v>
      </c>
      <c r="M10" s="9">
        <v>70000</v>
      </c>
    </row>
    <row r="11" spans="1:14" ht="12.45" customHeight="1">
      <c r="A11" s="12" t="s">
        <v>471</v>
      </c>
      <c r="B11" s="9">
        <v>183000</v>
      </c>
      <c r="C11" s="9">
        <v>79000</v>
      </c>
      <c r="D11" s="9">
        <v>104000</v>
      </c>
      <c r="E11" s="9">
        <v>17000</v>
      </c>
      <c r="F11" s="13" t="s">
        <v>220</v>
      </c>
      <c r="G11" s="9">
        <v>52000</v>
      </c>
      <c r="H11" s="9">
        <v>15000</v>
      </c>
      <c r="I11" s="13" t="s">
        <v>220</v>
      </c>
      <c r="J11" s="9">
        <v>94000</v>
      </c>
      <c r="K11" s="9">
        <v>3000</v>
      </c>
      <c r="L11" s="9">
        <v>157000</v>
      </c>
      <c r="M11" s="9">
        <v>26000</v>
      </c>
    </row>
    <row r="12" spans="1:14" ht="12.45" customHeight="1">
      <c r="A12" s="10" t="s">
        <v>472</v>
      </c>
      <c r="B12" s="53"/>
      <c r="C12" s="53"/>
      <c r="D12" s="53"/>
      <c r="E12" s="53"/>
      <c r="F12" s="53"/>
      <c r="G12" s="53"/>
      <c r="H12" s="53"/>
      <c r="I12" s="53"/>
      <c r="J12" s="53"/>
      <c r="K12" s="53"/>
      <c r="L12" s="53"/>
      <c r="M12" s="53"/>
    </row>
    <row r="13" spans="1:14" ht="12.45" customHeight="1">
      <c r="A13" s="12" t="s">
        <v>473</v>
      </c>
      <c r="B13" s="9">
        <v>243000</v>
      </c>
      <c r="C13" s="9">
        <v>116000</v>
      </c>
      <c r="D13" s="9">
        <v>127000</v>
      </c>
      <c r="E13" s="9">
        <v>14000</v>
      </c>
      <c r="F13" s="13" t="s">
        <v>220</v>
      </c>
      <c r="G13" s="9">
        <v>19000</v>
      </c>
      <c r="H13" s="9">
        <v>5000</v>
      </c>
      <c r="I13" s="13" t="s">
        <v>220</v>
      </c>
      <c r="J13" s="9">
        <v>200000</v>
      </c>
      <c r="K13" s="9">
        <v>4000</v>
      </c>
      <c r="L13" s="9">
        <v>207000</v>
      </c>
      <c r="M13" s="9">
        <v>36000</v>
      </c>
    </row>
    <row r="14" spans="1:14" ht="12.45" customHeight="1">
      <c r="A14" s="12" t="s">
        <v>474</v>
      </c>
      <c r="B14" s="9">
        <v>164000</v>
      </c>
      <c r="C14" s="9">
        <v>110000</v>
      </c>
      <c r="D14" s="9">
        <v>54000</v>
      </c>
      <c r="E14" s="9">
        <v>17000</v>
      </c>
      <c r="F14" s="13" t="s">
        <v>220</v>
      </c>
      <c r="G14" s="9">
        <v>27000</v>
      </c>
      <c r="H14" s="9">
        <v>11000</v>
      </c>
      <c r="I14" s="13" t="s">
        <v>220</v>
      </c>
      <c r="J14" s="9">
        <v>107000</v>
      </c>
      <c r="K14" s="9">
        <v>2000</v>
      </c>
      <c r="L14" s="9">
        <v>139000</v>
      </c>
      <c r="M14" s="9">
        <v>26000</v>
      </c>
    </row>
    <row r="15" spans="1:14" ht="12.45" customHeight="1">
      <c r="A15" s="15" t="s">
        <v>475</v>
      </c>
      <c r="B15" s="9">
        <v>38000</v>
      </c>
      <c r="C15" s="9">
        <v>27000</v>
      </c>
      <c r="D15" s="9">
        <v>12000</v>
      </c>
      <c r="E15" s="9">
        <v>6000</v>
      </c>
      <c r="F15" s="13" t="s">
        <v>220</v>
      </c>
      <c r="G15" s="9">
        <v>6000</v>
      </c>
      <c r="H15" s="13" t="s">
        <v>191</v>
      </c>
      <c r="I15" s="13" t="s">
        <v>220</v>
      </c>
      <c r="J15" s="9">
        <v>23000</v>
      </c>
      <c r="K15" s="13" t="s">
        <v>222</v>
      </c>
      <c r="L15" s="9">
        <v>30000</v>
      </c>
      <c r="M15" s="9">
        <v>8000</v>
      </c>
    </row>
    <row r="16" spans="1:14" ht="12.45" customHeight="1">
      <c r="A16" s="15" t="s">
        <v>476</v>
      </c>
      <c r="B16" s="9">
        <v>70000</v>
      </c>
      <c r="C16" s="9">
        <v>45000</v>
      </c>
      <c r="D16" s="9">
        <v>25000</v>
      </c>
      <c r="E16" s="9">
        <v>5000</v>
      </c>
      <c r="F16" s="13" t="s">
        <v>220</v>
      </c>
      <c r="G16" s="9">
        <v>12000</v>
      </c>
      <c r="H16" s="13" t="s">
        <v>191</v>
      </c>
      <c r="I16" s="13" t="s">
        <v>220</v>
      </c>
      <c r="J16" s="9">
        <v>46000</v>
      </c>
      <c r="K16" s="9">
        <v>1000</v>
      </c>
      <c r="L16" s="9">
        <v>64000</v>
      </c>
      <c r="M16" s="9">
        <v>6000</v>
      </c>
    </row>
    <row r="17" spans="1:13" ht="12.45" customHeight="1">
      <c r="A17" s="12" t="s">
        <v>477</v>
      </c>
      <c r="B17" s="9">
        <v>99000</v>
      </c>
      <c r="C17" s="9">
        <v>44000</v>
      </c>
      <c r="D17" s="9">
        <v>55000</v>
      </c>
      <c r="E17" s="9">
        <v>10000</v>
      </c>
      <c r="F17" s="13" t="s">
        <v>220</v>
      </c>
      <c r="G17" s="9">
        <v>19000</v>
      </c>
      <c r="H17" s="9">
        <v>7000</v>
      </c>
      <c r="I17" s="13" t="s">
        <v>220</v>
      </c>
      <c r="J17" s="9">
        <v>60000</v>
      </c>
      <c r="K17" s="9">
        <v>1000</v>
      </c>
      <c r="L17" s="9">
        <v>87000</v>
      </c>
      <c r="M17" s="9">
        <v>13000</v>
      </c>
    </row>
    <row r="18" spans="1:13" ht="12.45" customHeight="1">
      <c r="A18" s="15" t="s">
        <v>475</v>
      </c>
      <c r="B18" s="9">
        <v>28000</v>
      </c>
      <c r="C18" s="9">
        <v>11000</v>
      </c>
      <c r="D18" s="9">
        <v>17000</v>
      </c>
      <c r="E18" s="9">
        <v>3000</v>
      </c>
      <c r="F18" s="13" t="s">
        <v>220</v>
      </c>
      <c r="G18" s="9">
        <v>4000</v>
      </c>
      <c r="H18" s="13" t="s">
        <v>220</v>
      </c>
      <c r="I18" s="13" t="s">
        <v>220</v>
      </c>
      <c r="J18" s="9">
        <v>20000</v>
      </c>
      <c r="K18" s="13" t="s">
        <v>220</v>
      </c>
      <c r="L18" s="9">
        <v>24000</v>
      </c>
      <c r="M18" s="9">
        <v>4000</v>
      </c>
    </row>
    <row r="19" spans="1:13" ht="12.45" customHeight="1">
      <c r="A19" s="15" t="s">
        <v>476</v>
      </c>
      <c r="B19" s="9">
        <v>57000</v>
      </c>
      <c r="C19" s="9">
        <v>28000</v>
      </c>
      <c r="D19" s="9">
        <v>29000</v>
      </c>
      <c r="E19" s="9">
        <v>6000</v>
      </c>
      <c r="F19" s="13" t="s">
        <v>220</v>
      </c>
      <c r="G19" s="9">
        <v>11000</v>
      </c>
      <c r="H19" s="9">
        <v>5000</v>
      </c>
      <c r="I19" s="13" t="s">
        <v>220</v>
      </c>
      <c r="J19" s="9">
        <v>33000</v>
      </c>
      <c r="K19" s="13" t="s">
        <v>220</v>
      </c>
      <c r="L19" s="9">
        <v>49000</v>
      </c>
      <c r="M19" s="9">
        <v>7000</v>
      </c>
    </row>
    <row r="20" spans="1:13" ht="12.45" customHeight="1">
      <c r="A20" s="12" t="s">
        <v>478</v>
      </c>
      <c r="B20" s="9">
        <v>78000</v>
      </c>
      <c r="C20" s="9">
        <v>41000</v>
      </c>
      <c r="D20" s="9">
        <v>37000</v>
      </c>
      <c r="E20" s="9">
        <v>6000</v>
      </c>
      <c r="F20" s="13" t="s">
        <v>220</v>
      </c>
      <c r="G20" s="9">
        <v>7000</v>
      </c>
      <c r="H20" s="13" t="s">
        <v>191</v>
      </c>
      <c r="I20" s="13" t="s">
        <v>220</v>
      </c>
      <c r="J20" s="9">
        <v>61000</v>
      </c>
      <c r="K20" s="13" t="s">
        <v>191</v>
      </c>
      <c r="L20" s="9">
        <v>60000</v>
      </c>
      <c r="M20" s="9">
        <v>18000</v>
      </c>
    </row>
    <row r="21" spans="1:13" ht="12.45" customHeight="1">
      <c r="A21" s="12" t="s">
        <v>479</v>
      </c>
      <c r="B21" s="9">
        <v>152000</v>
      </c>
      <c r="C21" s="9">
        <v>72000</v>
      </c>
      <c r="D21" s="9">
        <v>80000</v>
      </c>
      <c r="E21" s="9">
        <v>11000</v>
      </c>
      <c r="F21" s="13" t="s">
        <v>220</v>
      </c>
      <c r="G21" s="9">
        <v>19000</v>
      </c>
      <c r="H21" s="9">
        <v>7000</v>
      </c>
      <c r="I21" s="13" t="s">
        <v>220</v>
      </c>
      <c r="J21" s="9">
        <v>112000</v>
      </c>
      <c r="K21" s="9">
        <v>2000</v>
      </c>
      <c r="L21" s="9">
        <v>129000</v>
      </c>
      <c r="M21" s="9">
        <v>24000</v>
      </c>
    </row>
    <row r="22" spans="1:13" ht="12.45" customHeight="1">
      <c r="A22" s="15" t="s">
        <v>475</v>
      </c>
      <c r="B22" s="9">
        <v>84000</v>
      </c>
      <c r="C22" s="9">
        <v>41000</v>
      </c>
      <c r="D22" s="9">
        <v>43000</v>
      </c>
      <c r="E22" s="9">
        <v>6000</v>
      </c>
      <c r="F22" s="13" t="s">
        <v>220</v>
      </c>
      <c r="G22" s="9">
        <v>8000</v>
      </c>
      <c r="H22" s="9">
        <v>5000</v>
      </c>
      <c r="I22" s="13" t="s">
        <v>220</v>
      </c>
      <c r="J22" s="9">
        <v>63000</v>
      </c>
      <c r="K22" s="13" t="s">
        <v>222</v>
      </c>
      <c r="L22" s="9">
        <v>73000</v>
      </c>
      <c r="M22" s="9">
        <v>10000</v>
      </c>
    </row>
    <row r="23" spans="1:13" ht="12.45" customHeight="1">
      <c r="A23" s="15" t="s">
        <v>476</v>
      </c>
      <c r="B23" s="9">
        <v>48000</v>
      </c>
      <c r="C23" s="9">
        <v>21000</v>
      </c>
      <c r="D23" s="9">
        <v>26000</v>
      </c>
      <c r="E23" s="9">
        <v>3000</v>
      </c>
      <c r="F23" s="13" t="s">
        <v>220</v>
      </c>
      <c r="G23" s="9">
        <v>5000</v>
      </c>
      <c r="H23" s="13" t="s">
        <v>191</v>
      </c>
      <c r="I23" s="13" t="s">
        <v>220</v>
      </c>
      <c r="J23" s="9">
        <v>37000</v>
      </c>
      <c r="K23" s="13" t="s">
        <v>191</v>
      </c>
      <c r="L23" s="9">
        <v>37000</v>
      </c>
      <c r="M23" s="9">
        <v>11000</v>
      </c>
    </row>
    <row r="24" spans="1:13" ht="12.45" customHeight="1">
      <c r="A24" s="12" t="s">
        <v>480</v>
      </c>
      <c r="B24" s="9">
        <v>146000</v>
      </c>
      <c r="C24" s="9">
        <v>35000</v>
      </c>
      <c r="D24" s="9">
        <v>111000</v>
      </c>
      <c r="E24" s="9">
        <v>4000</v>
      </c>
      <c r="F24" s="13" t="s">
        <v>220</v>
      </c>
      <c r="G24" s="9">
        <v>8000</v>
      </c>
      <c r="H24" s="9">
        <v>4000</v>
      </c>
      <c r="I24" s="13" t="s">
        <v>220</v>
      </c>
      <c r="J24" s="9">
        <v>128000</v>
      </c>
      <c r="K24" s="9">
        <v>2000</v>
      </c>
      <c r="L24" s="9">
        <v>115000</v>
      </c>
      <c r="M24" s="9">
        <v>31000</v>
      </c>
    </row>
    <row r="25" spans="1:13" ht="12.45" customHeight="1">
      <c r="A25" s="12" t="s">
        <v>481</v>
      </c>
      <c r="B25" s="9">
        <v>182000</v>
      </c>
      <c r="C25" s="9">
        <v>82000</v>
      </c>
      <c r="D25" s="9">
        <v>100000</v>
      </c>
      <c r="E25" s="9">
        <v>29000</v>
      </c>
      <c r="F25" s="13" t="s">
        <v>220</v>
      </c>
      <c r="G25" s="9">
        <v>59000</v>
      </c>
      <c r="H25" s="9">
        <v>10000</v>
      </c>
      <c r="I25" s="13" t="s">
        <v>220</v>
      </c>
      <c r="J25" s="9">
        <v>79000</v>
      </c>
      <c r="K25" s="9">
        <v>4000</v>
      </c>
      <c r="L25" s="9">
        <v>158000</v>
      </c>
      <c r="M25" s="9">
        <v>24000</v>
      </c>
    </row>
    <row r="26" spans="1:13" ht="12.45" customHeight="1">
      <c r="A26" s="12" t="s">
        <v>482</v>
      </c>
      <c r="B26" s="9">
        <v>89000</v>
      </c>
      <c r="C26" s="9">
        <v>38000</v>
      </c>
      <c r="D26" s="9">
        <v>50000</v>
      </c>
      <c r="E26" s="9">
        <v>6000</v>
      </c>
      <c r="F26" s="13" t="s">
        <v>220</v>
      </c>
      <c r="G26" s="9">
        <v>29000</v>
      </c>
      <c r="H26" s="9">
        <v>5000</v>
      </c>
      <c r="I26" s="13" t="s">
        <v>220</v>
      </c>
      <c r="J26" s="9">
        <v>46000</v>
      </c>
      <c r="K26" s="9">
        <v>2000</v>
      </c>
      <c r="L26" s="9">
        <v>77000</v>
      </c>
      <c r="M26" s="9">
        <v>12000</v>
      </c>
    </row>
    <row r="27" spans="1:13" ht="12.45" customHeight="1">
      <c r="A27" s="12" t="s">
        <v>483</v>
      </c>
      <c r="B27" s="9">
        <v>1472000</v>
      </c>
      <c r="C27" s="9">
        <v>521000</v>
      </c>
      <c r="D27" s="9">
        <v>951000</v>
      </c>
      <c r="E27" s="9">
        <v>78000</v>
      </c>
      <c r="F27" s="9">
        <v>3000</v>
      </c>
      <c r="G27" s="9">
        <v>205000</v>
      </c>
      <c r="H27" s="9">
        <v>47000</v>
      </c>
      <c r="I27" s="9">
        <v>4000</v>
      </c>
      <c r="J27" s="9">
        <v>1109000</v>
      </c>
      <c r="K27" s="9">
        <v>26000</v>
      </c>
      <c r="L27" s="9">
        <v>1179000</v>
      </c>
      <c r="M27" s="9">
        <v>293000</v>
      </c>
    </row>
    <row r="28" spans="1:13" ht="12.45" customHeight="1">
      <c r="A28" s="12" t="s">
        <v>484</v>
      </c>
      <c r="B28" s="9">
        <v>275000</v>
      </c>
      <c r="C28" s="9">
        <v>87000</v>
      </c>
      <c r="D28" s="9">
        <v>188000</v>
      </c>
      <c r="E28" s="9">
        <v>26000</v>
      </c>
      <c r="F28" s="13" t="s">
        <v>220</v>
      </c>
      <c r="G28" s="9">
        <v>70000</v>
      </c>
      <c r="H28" s="9">
        <v>18000</v>
      </c>
      <c r="I28" s="13" t="s">
        <v>220</v>
      </c>
      <c r="J28" s="9">
        <v>154000</v>
      </c>
      <c r="K28" s="9">
        <v>6000</v>
      </c>
      <c r="L28" s="9">
        <v>222000</v>
      </c>
      <c r="M28" s="9">
        <v>52000</v>
      </c>
    </row>
    <row r="29" spans="1:13" ht="12.45" customHeight="1">
      <c r="A29" s="10" t="s">
        <v>485</v>
      </c>
      <c r="B29" s="53"/>
      <c r="C29" s="53"/>
      <c r="D29" s="53"/>
      <c r="E29" s="53"/>
      <c r="F29" s="53"/>
      <c r="G29" s="53"/>
      <c r="H29" s="53"/>
      <c r="I29" s="53"/>
      <c r="J29" s="53"/>
      <c r="K29" s="53"/>
      <c r="L29" s="53"/>
      <c r="M29" s="53"/>
    </row>
    <row r="30" spans="1:13" ht="12.45" customHeight="1">
      <c r="A30" s="12" t="s">
        <v>486</v>
      </c>
      <c r="B30" s="9">
        <v>114000</v>
      </c>
      <c r="C30" s="9">
        <v>44000</v>
      </c>
      <c r="D30" s="9">
        <v>69000</v>
      </c>
      <c r="E30" s="13" t="s">
        <v>191</v>
      </c>
      <c r="F30" s="13" t="s">
        <v>220</v>
      </c>
      <c r="G30" s="9">
        <v>14000</v>
      </c>
      <c r="H30" s="9">
        <v>5000</v>
      </c>
      <c r="I30" s="13" t="s">
        <v>220</v>
      </c>
      <c r="J30" s="9">
        <v>79000</v>
      </c>
      <c r="K30" s="9">
        <v>7000</v>
      </c>
      <c r="L30" s="9">
        <v>20000</v>
      </c>
      <c r="M30" s="9">
        <v>94000</v>
      </c>
    </row>
    <row r="31" spans="1:13" ht="12.45" customHeight="1">
      <c r="A31" s="12" t="s">
        <v>487</v>
      </c>
      <c r="B31" s="9">
        <v>293000</v>
      </c>
      <c r="C31" s="9">
        <v>119000</v>
      </c>
      <c r="D31" s="9">
        <v>174000</v>
      </c>
      <c r="E31" s="9">
        <v>23000</v>
      </c>
      <c r="F31" s="13" t="s">
        <v>191</v>
      </c>
      <c r="G31" s="9">
        <v>33000</v>
      </c>
      <c r="H31" s="9">
        <v>18000</v>
      </c>
      <c r="I31" s="13" t="s">
        <v>220</v>
      </c>
      <c r="J31" s="9">
        <v>208000</v>
      </c>
      <c r="K31" s="9">
        <v>9000</v>
      </c>
      <c r="L31" s="9">
        <v>237000</v>
      </c>
      <c r="M31" s="9">
        <v>56000</v>
      </c>
    </row>
    <row r="32" spans="1:13" ht="12.45" customHeight="1">
      <c r="A32" s="12" t="s">
        <v>488</v>
      </c>
      <c r="B32" s="9">
        <v>212000</v>
      </c>
      <c r="C32" s="9">
        <v>138000</v>
      </c>
      <c r="D32" s="9">
        <v>74000</v>
      </c>
      <c r="E32" s="9">
        <v>32000</v>
      </c>
      <c r="F32" s="13" t="s">
        <v>220</v>
      </c>
      <c r="G32" s="9">
        <v>48000</v>
      </c>
      <c r="H32" s="9">
        <v>12000</v>
      </c>
      <c r="I32" s="13" t="s">
        <v>220</v>
      </c>
      <c r="J32" s="9">
        <v>112000</v>
      </c>
      <c r="K32" s="9">
        <v>6000</v>
      </c>
      <c r="L32" s="9">
        <v>175000</v>
      </c>
      <c r="M32" s="9">
        <v>37000</v>
      </c>
    </row>
    <row r="33" spans="1:13" ht="12.45" customHeight="1">
      <c r="A33" s="15" t="s">
        <v>475</v>
      </c>
      <c r="B33" s="9">
        <v>54000</v>
      </c>
      <c r="C33" s="9">
        <v>24000</v>
      </c>
      <c r="D33" s="9">
        <v>30000</v>
      </c>
      <c r="E33" s="9">
        <v>10000</v>
      </c>
      <c r="F33" s="13" t="s">
        <v>220</v>
      </c>
      <c r="G33" s="9">
        <v>16000</v>
      </c>
      <c r="H33" s="13" t="s">
        <v>191</v>
      </c>
      <c r="I33" s="13" t="s">
        <v>220</v>
      </c>
      <c r="J33" s="9">
        <v>21000</v>
      </c>
      <c r="K33" s="13" t="s">
        <v>191</v>
      </c>
      <c r="L33" s="9">
        <v>40000</v>
      </c>
      <c r="M33" s="9">
        <v>14000</v>
      </c>
    </row>
    <row r="34" spans="1:13" ht="12.45" customHeight="1">
      <c r="A34" s="15" t="s">
        <v>476</v>
      </c>
      <c r="B34" s="9">
        <v>130000</v>
      </c>
      <c r="C34" s="9">
        <v>98000</v>
      </c>
      <c r="D34" s="9">
        <v>32000</v>
      </c>
      <c r="E34" s="9">
        <v>19000</v>
      </c>
      <c r="F34" s="13" t="s">
        <v>220</v>
      </c>
      <c r="G34" s="9">
        <v>28000</v>
      </c>
      <c r="H34" s="13" t="s">
        <v>191</v>
      </c>
      <c r="I34" s="13" t="s">
        <v>220</v>
      </c>
      <c r="J34" s="9">
        <v>73000</v>
      </c>
      <c r="K34" s="13" t="s">
        <v>191</v>
      </c>
      <c r="L34" s="9">
        <v>113000</v>
      </c>
      <c r="M34" s="9">
        <v>17000</v>
      </c>
    </row>
    <row r="35" spans="1:13" ht="12.45" customHeight="1">
      <c r="A35" s="12" t="s">
        <v>489</v>
      </c>
      <c r="B35" s="9">
        <v>231000</v>
      </c>
      <c r="C35" s="9">
        <v>66000</v>
      </c>
      <c r="D35" s="9">
        <v>165000</v>
      </c>
      <c r="E35" s="9">
        <v>16000</v>
      </c>
      <c r="F35" s="13" t="s">
        <v>220</v>
      </c>
      <c r="G35" s="9">
        <v>55000</v>
      </c>
      <c r="H35" s="9">
        <v>17000</v>
      </c>
      <c r="I35" s="13" t="s">
        <v>220</v>
      </c>
      <c r="J35" s="9">
        <v>136000</v>
      </c>
      <c r="K35" s="9">
        <v>5000</v>
      </c>
      <c r="L35" s="9">
        <v>204000</v>
      </c>
      <c r="M35" s="9">
        <v>26000</v>
      </c>
    </row>
    <row r="36" spans="1:13" ht="12.45" customHeight="1">
      <c r="A36" s="15" t="s">
        <v>475</v>
      </c>
      <c r="B36" s="9">
        <v>121000</v>
      </c>
      <c r="C36" s="9">
        <v>32000</v>
      </c>
      <c r="D36" s="9">
        <v>88000</v>
      </c>
      <c r="E36" s="9">
        <v>11000</v>
      </c>
      <c r="F36" s="13" t="s">
        <v>220</v>
      </c>
      <c r="G36" s="9">
        <v>34000</v>
      </c>
      <c r="H36" s="9">
        <v>12000</v>
      </c>
      <c r="I36" s="13" t="s">
        <v>220</v>
      </c>
      <c r="J36" s="9">
        <v>62000</v>
      </c>
      <c r="K36" s="13" t="s">
        <v>191</v>
      </c>
      <c r="L36" s="9">
        <v>108000</v>
      </c>
      <c r="M36" s="9">
        <v>13000</v>
      </c>
    </row>
    <row r="37" spans="1:13" ht="12.45" customHeight="1">
      <c r="A37" s="15" t="s">
        <v>476</v>
      </c>
      <c r="B37" s="9">
        <v>97000</v>
      </c>
      <c r="C37" s="9">
        <v>29000</v>
      </c>
      <c r="D37" s="9">
        <v>68000</v>
      </c>
      <c r="E37" s="9">
        <v>5000</v>
      </c>
      <c r="F37" s="13" t="s">
        <v>220</v>
      </c>
      <c r="G37" s="9">
        <v>15000</v>
      </c>
      <c r="H37" s="9">
        <v>5000</v>
      </c>
      <c r="I37" s="13" t="s">
        <v>220</v>
      </c>
      <c r="J37" s="9">
        <v>68000</v>
      </c>
      <c r="K37" s="13" t="s">
        <v>191</v>
      </c>
      <c r="L37" s="9">
        <v>86000</v>
      </c>
      <c r="M37" s="9">
        <v>11000</v>
      </c>
    </row>
    <row r="38" spans="1:13" ht="12.45" customHeight="1">
      <c r="A38" s="12" t="s">
        <v>490</v>
      </c>
      <c r="B38" s="9">
        <v>1057000</v>
      </c>
      <c r="C38" s="9">
        <v>300000</v>
      </c>
      <c r="D38" s="9">
        <v>757000</v>
      </c>
      <c r="E38" s="9">
        <v>36000</v>
      </c>
      <c r="F38" s="9">
        <v>2000</v>
      </c>
      <c r="G38" s="9">
        <v>89000</v>
      </c>
      <c r="H38" s="9">
        <v>27000</v>
      </c>
      <c r="I38" s="9">
        <v>3000</v>
      </c>
      <c r="J38" s="9">
        <v>882000</v>
      </c>
      <c r="K38" s="9">
        <v>19000</v>
      </c>
      <c r="L38" s="9">
        <v>827000</v>
      </c>
      <c r="M38" s="9">
        <v>230000</v>
      </c>
    </row>
    <row r="39" spans="1:13" ht="12.45" customHeight="1">
      <c r="A39" s="12" t="s">
        <v>491</v>
      </c>
      <c r="B39" s="9">
        <v>89000</v>
      </c>
      <c r="C39" s="9">
        <v>37000</v>
      </c>
      <c r="D39" s="9">
        <v>52000</v>
      </c>
      <c r="E39" s="9">
        <v>8000</v>
      </c>
      <c r="F39" s="13" t="s">
        <v>220</v>
      </c>
      <c r="G39" s="9">
        <v>32000</v>
      </c>
      <c r="H39" s="9">
        <v>4000</v>
      </c>
      <c r="I39" s="13" t="s">
        <v>220</v>
      </c>
      <c r="J39" s="9">
        <v>41000</v>
      </c>
      <c r="K39" s="9">
        <v>3000</v>
      </c>
      <c r="L39" s="9">
        <v>81000</v>
      </c>
      <c r="M39" s="9">
        <v>8000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1971-E0C3-4690-8565-2BA96193F3E3}">
  <dimension ref="A1:K1"/>
  <sheetViews>
    <sheetView workbookViewId="0">
      <selection sqref="A1:D1"/>
    </sheetView>
  </sheetViews>
  <sheetFormatPr defaultRowHeight="13.2"/>
  <sheetData>
    <row r="1" spans="1:11">
      <c r="A1" s="319" t="s">
        <v>60</v>
      </c>
      <c r="B1" s="320"/>
      <c r="C1" s="320"/>
      <c r="D1" s="320"/>
      <c r="G1" s="319" t="s">
        <v>61</v>
      </c>
      <c r="H1" s="320"/>
      <c r="I1" s="320"/>
      <c r="J1" s="320"/>
      <c r="K1" s="320"/>
    </row>
  </sheetData>
  <mergeCells count="2">
    <mergeCell ref="A1:D1"/>
    <mergeCell ref="G1:K1"/>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1" t="s">
        <v>465</v>
      </c>
      <c r="B1" s="321"/>
      <c r="C1" s="321"/>
      <c r="D1" s="321"/>
      <c r="E1" s="321"/>
      <c r="F1" s="321"/>
      <c r="G1" s="321"/>
      <c r="H1" s="321"/>
      <c r="I1" s="321"/>
      <c r="J1" s="321"/>
      <c r="K1" s="321"/>
      <c r="L1" s="321"/>
      <c r="M1" s="321"/>
      <c r="N1" s="321"/>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8" t="s">
        <v>492</v>
      </c>
      <c r="B5" s="7">
        <v>186000</v>
      </c>
      <c r="C5" s="7">
        <v>61000</v>
      </c>
      <c r="D5" s="7">
        <v>125000</v>
      </c>
      <c r="E5" s="7">
        <v>23000</v>
      </c>
      <c r="F5" s="19" t="s">
        <v>220</v>
      </c>
      <c r="G5" s="7">
        <v>46000</v>
      </c>
      <c r="H5" s="7">
        <v>9000</v>
      </c>
      <c r="I5" s="19" t="s">
        <v>220</v>
      </c>
      <c r="J5" s="7">
        <v>99000</v>
      </c>
      <c r="K5" s="7">
        <v>9000</v>
      </c>
      <c r="L5" s="7">
        <v>146000</v>
      </c>
      <c r="M5" s="7">
        <v>40000</v>
      </c>
    </row>
    <row r="6" spans="1:14" ht="12.45" customHeight="1">
      <c r="A6" s="12" t="s">
        <v>493</v>
      </c>
      <c r="B6" s="9">
        <v>107000</v>
      </c>
      <c r="C6" s="9">
        <v>42000</v>
      </c>
      <c r="D6" s="9">
        <v>65000</v>
      </c>
      <c r="E6" s="9">
        <v>9000</v>
      </c>
      <c r="F6" s="13" t="s">
        <v>220</v>
      </c>
      <c r="G6" s="9">
        <v>39000</v>
      </c>
      <c r="H6" s="9">
        <v>6000</v>
      </c>
      <c r="I6" s="13" t="s">
        <v>220</v>
      </c>
      <c r="J6" s="9">
        <v>51000</v>
      </c>
      <c r="K6" s="13" t="s">
        <v>220</v>
      </c>
      <c r="L6" s="9">
        <v>88000</v>
      </c>
      <c r="M6" s="9">
        <v>19000</v>
      </c>
    </row>
    <row r="7" spans="1:14" ht="12.45" customHeight="1">
      <c r="A7" s="8" t="s">
        <v>175</v>
      </c>
      <c r="B7" s="9">
        <v>11936000</v>
      </c>
      <c r="C7" s="9">
        <v>6996000</v>
      </c>
      <c r="D7" s="9">
        <v>4940000</v>
      </c>
      <c r="E7" s="9">
        <v>1006000</v>
      </c>
      <c r="F7" s="9">
        <v>30000</v>
      </c>
      <c r="G7" s="9">
        <v>1484000</v>
      </c>
      <c r="H7" s="9">
        <v>884000</v>
      </c>
      <c r="I7" s="9">
        <v>43000</v>
      </c>
      <c r="J7" s="9">
        <v>8253000</v>
      </c>
      <c r="K7" s="9">
        <v>236000</v>
      </c>
      <c r="L7" s="9">
        <v>10402000</v>
      </c>
      <c r="M7" s="9">
        <v>1534000</v>
      </c>
    </row>
    <row r="8" spans="1:14" ht="12.45" customHeight="1">
      <c r="A8" s="10" t="s">
        <v>467</v>
      </c>
      <c r="B8" s="9">
        <v>7975000</v>
      </c>
      <c r="C8" s="9">
        <v>4380000</v>
      </c>
      <c r="D8" s="9">
        <v>3595000</v>
      </c>
      <c r="E8" s="9">
        <v>712000</v>
      </c>
      <c r="F8" s="9">
        <v>20000</v>
      </c>
      <c r="G8" s="9">
        <v>1085000</v>
      </c>
      <c r="H8" s="9">
        <v>658000</v>
      </c>
      <c r="I8" s="9">
        <v>35000</v>
      </c>
      <c r="J8" s="9">
        <v>5311000</v>
      </c>
      <c r="K8" s="9">
        <v>153000</v>
      </c>
      <c r="L8" s="9">
        <v>7179000</v>
      </c>
      <c r="M8" s="9">
        <v>795000</v>
      </c>
    </row>
    <row r="9" spans="1:14" ht="12.45" customHeight="1">
      <c r="A9" s="10" t="s">
        <v>468</v>
      </c>
      <c r="B9" s="9">
        <v>1547000</v>
      </c>
      <c r="C9" s="9">
        <v>1114000</v>
      </c>
      <c r="D9" s="9">
        <v>433000</v>
      </c>
      <c r="E9" s="9">
        <v>131000</v>
      </c>
      <c r="F9" s="13" t="s">
        <v>191</v>
      </c>
      <c r="G9" s="9">
        <v>179000</v>
      </c>
      <c r="H9" s="9">
        <v>98000</v>
      </c>
      <c r="I9" s="13" t="s">
        <v>220</v>
      </c>
      <c r="J9" s="9">
        <v>1101000</v>
      </c>
      <c r="K9" s="9">
        <v>36000</v>
      </c>
      <c r="L9" s="9">
        <v>1355000</v>
      </c>
      <c r="M9" s="9">
        <v>192000</v>
      </c>
    </row>
    <row r="10" spans="1:14" ht="12.45" customHeight="1">
      <c r="A10" s="10" t="s">
        <v>469</v>
      </c>
      <c r="B10" s="53"/>
      <c r="C10" s="53"/>
      <c r="D10" s="53"/>
      <c r="E10" s="53"/>
      <c r="F10" s="53"/>
      <c r="G10" s="53"/>
      <c r="H10" s="53"/>
      <c r="I10" s="53"/>
      <c r="J10" s="53"/>
      <c r="K10" s="53"/>
      <c r="L10" s="53"/>
      <c r="M10" s="53"/>
    </row>
    <row r="11" spans="1:14" ht="12.45" customHeight="1">
      <c r="A11" s="12" t="s">
        <v>470</v>
      </c>
      <c r="B11" s="9">
        <v>1292000</v>
      </c>
      <c r="C11" s="9">
        <v>948000</v>
      </c>
      <c r="D11" s="9">
        <v>344000</v>
      </c>
      <c r="E11" s="9">
        <v>97000</v>
      </c>
      <c r="F11" s="13" t="s">
        <v>220</v>
      </c>
      <c r="G11" s="9">
        <v>142000</v>
      </c>
      <c r="H11" s="9">
        <v>62000</v>
      </c>
      <c r="I11" s="13" t="s">
        <v>220</v>
      </c>
      <c r="J11" s="9">
        <v>968000</v>
      </c>
      <c r="K11" s="9">
        <v>22000</v>
      </c>
      <c r="L11" s="9">
        <v>1153000</v>
      </c>
      <c r="M11" s="9">
        <v>139000</v>
      </c>
    </row>
    <row r="12" spans="1:14" ht="12.45" customHeight="1">
      <c r="A12" s="12" t="s">
        <v>471</v>
      </c>
      <c r="B12" s="9">
        <v>255000</v>
      </c>
      <c r="C12" s="9">
        <v>166000</v>
      </c>
      <c r="D12" s="9">
        <v>89000</v>
      </c>
      <c r="E12" s="9">
        <v>34000</v>
      </c>
      <c r="F12" s="13" t="s">
        <v>220</v>
      </c>
      <c r="G12" s="9">
        <v>36000</v>
      </c>
      <c r="H12" s="9">
        <v>36000</v>
      </c>
      <c r="I12" s="13" t="s">
        <v>220</v>
      </c>
      <c r="J12" s="9">
        <v>132000</v>
      </c>
      <c r="K12" s="13" t="s">
        <v>191</v>
      </c>
      <c r="L12" s="9">
        <v>202000</v>
      </c>
      <c r="M12" s="9">
        <v>53000</v>
      </c>
    </row>
    <row r="13" spans="1:14" ht="12.45" customHeight="1">
      <c r="A13" s="10" t="s">
        <v>472</v>
      </c>
      <c r="B13" s="53"/>
      <c r="C13" s="53"/>
      <c r="D13" s="53"/>
      <c r="E13" s="53"/>
      <c r="F13" s="53"/>
      <c r="G13" s="53"/>
      <c r="H13" s="53"/>
      <c r="I13" s="53"/>
      <c r="J13" s="53"/>
      <c r="K13" s="53"/>
      <c r="L13" s="53"/>
      <c r="M13" s="53"/>
    </row>
    <row r="14" spans="1:14" ht="12.45" customHeight="1">
      <c r="A14" s="12" t="s">
        <v>473</v>
      </c>
      <c r="B14" s="9">
        <v>754000</v>
      </c>
      <c r="C14" s="9">
        <v>584000</v>
      </c>
      <c r="D14" s="9">
        <v>170000</v>
      </c>
      <c r="E14" s="9">
        <v>48000</v>
      </c>
      <c r="F14" s="13" t="s">
        <v>220</v>
      </c>
      <c r="G14" s="9">
        <v>55000</v>
      </c>
      <c r="H14" s="9">
        <v>37000</v>
      </c>
      <c r="I14" s="13" t="s">
        <v>220</v>
      </c>
      <c r="J14" s="9">
        <v>598000</v>
      </c>
      <c r="K14" s="9">
        <v>17000</v>
      </c>
      <c r="L14" s="9">
        <v>673000</v>
      </c>
      <c r="M14" s="9">
        <v>81000</v>
      </c>
    </row>
    <row r="15" spans="1:14" ht="12.45" customHeight="1">
      <c r="A15" s="12" t="s">
        <v>474</v>
      </c>
      <c r="B15" s="9">
        <v>614000</v>
      </c>
      <c r="C15" s="9">
        <v>517000</v>
      </c>
      <c r="D15" s="9">
        <v>97000</v>
      </c>
      <c r="E15" s="9">
        <v>58000</v>
      </c>
      <c r="F15" s="13" t="s">
        <v>220</v>
      </c>
      <c r="G15" s="9">
        <v>60000</v>
      </c>
      <c r="H15" s="9">
        <v>38000</v>
      </c>
      <c r="I15" s="13" t="s">
        <v>220</v>
      </c>
      <c r="J15" s="9">
        <v>446000</v>
      </c>
      <c r="K15" s="9">
        <v>12000</v>
      </c>
      <c r="L15" s="9">
        <v>553000</v>
      </c>
      <c r="M15" s="9">
        <v>61000</v>
      </c>
    </row>
    <row r="16" spans="1:14" ht="12.45" customHeight="1">
      <c r="A16" s="15" t="s">
        <v>475</v>
      </c>
      <c r="B16" s="9">
        <v>87000</v>
      </c>
      <c r="C16" s="9">
        <v>72000</v>
      </c>
      <c r="D16" s="9">
        <v>14000</v>
      </c>
      <c r="E16" s="9">
        <v>16000</v>
      </c>
      <c r="F16" s="13" t="s">
        <v>220</v>
      </c>
      <c r="G16" s="9">
        <v>12000</v>
      </c>
      <c r="H16" s="9">
        <v>8000</v>
      </c>
      <c r="I16" s="13" t="s">
        <v>220</v>
      </c>
      <c r="J16" s="9">
        <v>49000</v>
      </c>
      <c r="K16" s="13" t="s">
        <v>220</v>
      </c>
      <c r="L16" s="9">
        <v>79000</v>
      </c>
      <c r="M16" s="9">
        <v>7000</v>
      </c>
    </row>
    <row r="17" spans="1:13" ht="12.45" customHeight="1">
      <c r="A17" s="15" t="s">
        <v>476</v>
      </c>
      <c r="B17" s="9">
        <v>308000</v>
      </c>
      <c r="C17" s="9">
        <v>282000</v>
      </c>
      <c r="D17" s="9">
        <v>26000</v>
      </c>
      <c r="E17" s="9">
        <v>15000</v>
      </c>
      <c r="F17" s="13" t="s">
        <v>220</v>
      </c>
      <c r="G17" s="9">
        <v>28000</v>
      </c>
      <c r="H17" s="9">
        <v>20000</v>
      </c>
      <c r="I17" s="13" t="s">
        <v>220</v>
      </c>
      <c r="J17" s="9">
        <v>244000</v>
      </c>
      <c r="K17" s="13" t="s">
        <v>191</v>
      </c>
      <c r="L17" s="9">
        <v>285000</v>
      </c>
      <c r="M17" s="9">
        <v>23000</v>
      </c>
    </row>
    <row r="18" spans="1:13" ht="12.45" customHeight="1">
      <c r="A18" s="12" t="s">
        <v>477</v>
      </c>
      <c r="B18" s="9">
        <v>218000</v>
      </c>
      <c r="C18" s="9">
        <v>149000</v>
      </c>
      <c r="D18" s="9">
        <v>69000</v>
      </c>
      <c r="E18" s="9">
        <v>28000</v>
      </c>
      <c r="F18" s="13" t="s">
        <v>220</v>
      </c>
      <c r="G18" s="9">
        <v>22000</v>
      </c>
      <c r="H18" s="9">
        <v>18000</v>
      </c>
      <c r="I18" s="13" t="s">
        <v>220</v>
      </c>
      <c r="J18" s="9">
        <v>135000</v>
      </c>
      <c r="K18" s="13" t="s">
        <v>191</v>
      </c>
      <c r="L18" s="9">
        <v>186000</v>
      </c>
      <c r="M18" s="9">
        <v>32000</v>
      </c>
    </row>
    <row r="19" spans="1:13" ht="12.45" customHeight="1">
      <c r="A19" s="15" t="s">
        <v>475</v>
      </c>
      <c r="B19" s="9">
        <v>90000</v>
      </c>
      <c r="C19" s="9">
        <v>55000</v>
      </c>
      <c r="D19" s="9">
        <v>35000</v>
      </c>
      <c r="E19" s="9">
        <v>7000</v>
      </c>
      <c r="F19" s="13" t="s">
        <v>220</v>
      </c>
      <c r="G19" s="9">
        <v>12000</v>
      </c>
      <c r="H19" s="13" t="s">
        <v>191</v>
      </c>
      <c r="I19" s="13" t="s">
        <v>220</v>
      </c>
      <c r="J19" s="9">
        <v>51000</v>
      </c>
      <c r="K19" s="13" t="s">
        <v>191</v>
      </c>
      <c r="L19" s="9">
        <v>79000</v>
      </c>
      <c r="M19" s="9">
        <v>11000</v>
      </c>
    </row>
    <row r="20" spans="1:13" ht="12.45" customHeight="1">
      <c r="A20" s="15" t="s">
        <v>476</v>
      </c>
      <c r="B20" s="9">
        <v>104000</v>
      </c>
      <c r="C20" s="9">
        <v>75000</v>
      </c>
      <c r="D20" s="9">
        <v>28000</v>
      </c>
      <c r="E20" s="9">
        <v>18000</v>
      </c>
      <c r="F20" s="13" t="s">
        <v>220</v>
      </c>
      <c r="G20" s="9">
        <v>8000</v>
      </c>
      <c r="H20" s="13" t="s">
        <v>191</v>
      </c>
      <c r="I20" s="13" t="s">
        <v>220</v>
      </c>
      <c r="J20" s="9">
        <v>65000</v>
      </c>
      <c r="K20" s="13" t="s">
        <v>191</v>
      </c>
      <c r="L20" s="9">
        <v>87000</v>
      </c>
      <c r="M20" s="9">
        <v>17000</v>
      </c>
    </row>
    <row r="21" spans="1:13" ht="12.45" customHeight="1">
      <c r="A21" s="12" t="s">
        <v>478</v>
      </c>
      <c r="B21" s="9">
        <v>180000</v>
      </c>
      <c r="C21" s="9">
        <v>127000</v>
      </c>
      <c r="D21" s="9">
        <v>53000</v>
      </c>
      <c r="E21" s="9">
        <v>17000</v>
      </c>
      <c r="F21" s="13" t="s">
        <v>220</v>
      </c>
      <c r="G21" s="9">
        <v>31000</v>
      </c>
      <c r="H21" s="9">
        <v>10000</v>
      </c>
      <c r="I21" s="13" t="s">
        <v>220</v>
      </c>
      <c r="J21" s="9">
        <v>119000</v>
      </c>
      <c r="K21" s="9">
        <v>2000</v>
      </c>
      <c r="L21" s="9">
        <v>150000</v>
      </c>
      <c r="M21" s="9">
        <v>30000</v>
      </c>
    </row>
    <row r="22" spans="1:13" ht="12.45" customHeight="1">
      <c r="A22" s="12" t="s">
        <v>479</v>
      </c>
      <c r="B22" s="9">
        <v>541000</v>
      </c>
      <c r="C22" s="9">
        <v>386000</v>
      </c>
      <c r="D22" s="9">
        <v>156000</v>
      </c>
      <c r="E22" s="9">
        <v>49000</v>
      </c>
      <c r="F22" s="13" t="s">
        <v>220</v>
      </c>
      <c r="G22" s="9">
        <v>65000</v>
      </c>
      <c r="H22" s="9">
        <v>44000</v>
      </c>
      <c r="I22" s="13" t="s">
        <v>220</v>
      </c>
      <c r="J22" s="9">
        <v>359000</v>
      </c>
      <c r="K22" s="9">
        <v>22000</v>
      </c>
      <c r="L22" s="9">
        <v>469000</v>
      </c>
      <c r="M22" s="9">
        <v>72000</v>
      </c>
    </row>
    <row r="23" spans="1:13" ht="12.45" customHeight="1">
      <c r="A23" s="15" t="s">
        <v>475</v>
      </c>
      <c r="B23" s="9">
        <v>261000</v>
      </c>
      <c r="C23" s="9">
        <v>193000</v>
      </c>
      <c r="D23" s="9">
        <v>68000</v>
      </c>
      <c r="E23" s="9">
        <v>36000</v>
      </c>
      <c r="F23" s="13" t="s">
        <v>220</v>
      </c>
      <c r="G23" s="9">
        <v>23000</v>
      </c>
      <c r="H23" s="9">
        <v>15000</v>
      </c>
      <c r="I23" s="13" t="s">
        <v>220</v>
      </c>
      <c r="J23" s="9">
        <v>167000</v>
      </c>
      <c r="K23" s="13" t="s">
        <v>191</v>
      </c>
      <c r="L23" s="9">
        <v>221000</v>
      </c>
      <c r="M23" s="9">
        <v>40000</v>
      </c>
    </row>
    <row r="24" spans="1:13" ht="12.45" customHeight="1">
      <c r="A24" s="15" t="s">
        <v>476</v>
      </c>
      <c r="B24" s="9">
        <v>222000</v>
      </c>
      <c r="C24" s="9">
        <v>156000</v>
      </c>
      <c r="D24" s="9">
        <v>66000</v>
      </c>
      <c r="E24" s="9">
        <v>9000</v>
      </c>
      <c r="F24" s="13" t="s">
        <v>220</v>
      </c>
      <c r="G24" s="9">
        <v>41000</v>
      </c>
      <c r="H24" s="9">
        <v>20000</v>
      </c>
      <c r="I24" s="13" t="s">
        <v>220</v>
      </c>
      <c r="J24" s="9">
        <v>149000</v>
      </c>
      <c r="K24" s="13" t="s">
        <v>191</v>
      </c>
      <c r="L24" s="9">
        <v>194000</v>
      </c>
      <c r="M24" s="9">
        <v>28000</v>
      </c>
    </row>
    <row r="25" spans="1:13" ht="12.45" customHeight="1">
      <c r="A25" s="12" t="s">
        <v>480</v>
      </c>
      <c r="B25" s="9">
        <v>253000</v>
      </c>
      <c r="C25" s="9">
        <v>130000</v>
      </c>
      <c r="D25" s="9">
        <v>123000</v>
      </c>
      <c r="E25" s="9">
        <v>11000</v>
      </c>
      <c r="F25" s="13" t="s">
        <v>220</v>
      </c>
      <c r="G25" s="9">
        <v>10000</v>
      </c>
      <c r="H25" s="9">
        <v>14000</v>
      </c>
      <c r="I25" s="13" t="s">
        <v>220</v>
      </c>
      <c r="J25" s="9">
        <v>218000</v>
      </c>
      <c r="K25" s="13" t="s">
        <v>220</v>
      </c>
      <c r="L25" s="9">
        <v>209000</v>
      </c>
      <c r="M25" s="9">
        <v>44000</v>
      </c>
    </row>
    <row r="26" spans="1:13" ht="12.45" customHeight="1">
      <c r="A26" s="12" t="s">
        <v>481</v>
      </c>
      <c r="B26" s="9">
        <v>161000</v>
      </c>
      <c r="C26" s="9">
        <v>112000</v>
      </c>
      <c r="D26" s="9">
        <v>49000</v>
      </c>
      <c r="E26" s="9">
        <v>22000</v>
      </c>
      <c r="F26" s="13" t="s">
        <v>220</v>
      </c>
      <c r="G26" s="9">
        <v>31000</v>
      </c>
      <c r="H26" s="9">
        <v>24000</v>
      </c>
      <c r="I26" s="13" t="s">
        <v>220</v>
      </c>
      <c r="J26" s="9">
        <v>75000</v>
      </c>
      <c r="K26" s="9">
        <v>8000</v>
      </c>
      <c r="L26" s="9">
        <v>140000</v>
      </c>
      <c r="M26" s="9">
        <v>21000</v>
      </c>
    </row>
    <row r="27" spans="1:13" ht="12.45" customHeight="1">
      <c r="A27" s="12" t="s">
        <v>482</v>
      </c>
      <c r="B27" s="9">
        <v>162000</v>
      </c>
      <c r="C27" s="9">
        <v>101000</v>
      </c>
      <c r="D27" s="9">
        <v>62000</v>
      </c>
      <c r="E27" s="9">
        <v>19000</v>
      </c>
      <c r="F27" s="13" t="s">
        <v>220</v>
      </c>
      <c r="G27" s="9">
        <v>32000</v>
      </c>
      <c r="H27" s="13" t="s">
        <v>191</v>
      </c>
      <c r="I27" s="13" t="s">
        <v>220</v>
      </c>
      <c r="J27" s="9">
        <v>90000</v>
      </c>
      <c r="K27" s="13" t="s">
        <v>191</v>
      </c>
      <c r="L27" s="9">
        <v>134000</v>
      </c>
      <c r="M27" s="9">
        <v>28000</v>
      </c>
    </row>
    <row r="28" spans="1:13" ht="12.45" customHeight="1">
      <c r="A28" s="12" t="s">
        <v>483</v>
      </c>
      <c r="B28" s="9">
        <v>2190000</v>
      </c>
      <c r="C28" s="9">
        <v>1365000</v>
      </c>
      <c r="D28" s="9">
        <v>825000</v>
      </c>
      <c r="E28" s="9">
        <v>126000</v>
      </c>
      <c r="F28" s="9">
        <v>7000</v>
      </c>
      <c r="G28" s="9">
        <v>185000</v>
      </c>
      <c r="H28" s="9">
        <v>100000</v>
      </c>
      <c r="I28" s="13" t="s">
        <v>191</v>
      </c>
      <c r="J28" s="9">
        <v>1732000</v>
      </c>
      <c r="K28" s="9">
        <v>36000</v>
      </c>
      <c r="L28" s="9">
        <v>1685000</v>
      </c>
      <c r="M28" s="9">
        <v>505000</v>
      </c>
    </row>
    <row r="29" spans="1:13" ht="12.45" customHeight="1">
      <c r="A29" s="12" t="s">
        <v>484</v>
      </c>
      <c r="B29" s="9">
        <v>224000</v>
      </c>
      <c r="C29" s="9">
        <v>137000</v>
      </c>
      <c r="D29" s="9">
        <v>87000</v>
      </c>
      <c r="E29" s="9">
        <v>37000</v>
      </c>
      <c r="F29" s="13" t="s">
        <v>220</v>
      </c>
      <c r="G29" s="9">
        <v>35000</v>
      </c>
      <c r="H29" s="9">
        <v>28000</v>
      </c>
      <c r="I29" s="13" t="s">
        <v>220</v>
      </c>
      <c r="J29" s="9">
        <v>109000</v>
      </c>
      <c r="K29" s="9">
        <v>10000</v>
      </c>
      <c r="L29" s="9">
        <v>182000</v>
      </c>
      <c r="M29" s="9">
        <v>42000</v>
      </c>
    </row>
    <row r="30" spans="1:13" ht="12.45" customHeight="1">
      <c r="A30" s="10" t="s">
        <v>485</v>
      </c>
      <c r="B30" s="53"/>
      <c r="C30" s="53"/>
      <c r="D30" s="53"/>
      <c r="E30" s="53"/>
      <c r="F30" s="53"/>
      <c r="G30" s="53"/>
      <c r="H30" s="53"/>
      <c r="I30" s="53"/>
      <c r="J30" s="53"/>
      <c r="K30" s="53"/>
      <c r="L30" s="53"/>
      <c r="M30" s="53"/>
    </row>
    <row r="31" spans="1:13" ht="12.45" customHeight="1">
      <c r="A31" s="12" t="s">
        <v>486</v>
      </c>
      <c r="B31" s="9">
        <v>196000</v>
      </c>
      <c r="C31" s="9">
        <v>120000</v>
      </c>
      <c r="D31" s="9">
        <v>75000</v>
      </c>
      <c r="E31" s="9">
        <v>16000</v>
      </c>
      <c r="F31" s="13" t="s">
        <v>220</v>
      </c>
      <c r="G31" s="9">
        <v>11000</v>
      </c>
      <c r="H31" s="9">
        <v>24000</v>
      </c>
      <c r="I31" s="13" t="s">
        <v>220</v>
      </c>
      <c r="J31" s="9">
        <v>141000</v>
      </c>
      <c r="K31" s="13" t="s">
        <v>220</v>
      </c>
      <c r="L31" s="9">
        <v>73000</v>
      </c>
      <c r="M31" s="9">
        <v>123000</v>
      </c>
    </row>
    <row r="32" spans="1:13" ht="12.45" customHeight="1">
      <c r="A32" s="12" t="s">
        <v>487</v>
      </c>
      <c r="B32" s="9">
        <v>470000</v>
      </c>
      <c r="C32" s="9">
        <v>321000</v>
      </c>
      <c r="D32" s="9">
        <v>149000</v>
      </c>
      <c r="E32" s="9">
        <v>17000</v>
      </c>
      <c r="F32" s="13" t="s">
        <v>220</v>
      </c>
      <c r="G32" s="9">
        <v>39000</v>
      </c>
      <c r="H32" s="9">
        <v>25000</v>
      </c>
      <c r="I32" s="13" t="s">
        <v>220</v>
      </c>
      <c r="J32" s="9">
        <v>377000</v>
      </c>
      <c r="K32" s="9">
        <v>11000</v>
      </c>
      <c r="L32" s="9">
        <v>373000</v>
      </c>
      <c r="M32" s="9">
        <v>97000</v>
      </c>
    </row>
    <row r="33" spans="1:13" ht="12.45" customHeight="1">
      <c r="A33" s="12" t="s">
        <v>488</v>
      </c>
      <c r="B33" s="9">
        <v>362000</v>
      </c>
      <c r="C33" s="9">
        <v>317000</v>
      </c>
      <c r="D33" s="9">
        <v>46000</v>
      </c>
      <c r="E33" s="9">
        <v>25000</v>
      </c>
      <c r="F33" s="13" t="s">
        <v>220</v>
      </c>
      <c r="G33" s="9">
        <v>43000</v>
      </c>
      <c r="H33" s="9">
        <v>16000</v>
      </c>
      <c r="I33" s="13" t="s">
        <v>220</v>
      </c>
      <c r="J33" s="9">
        <v>268000</v>
      </c>
      <c r="K33" s="13" t="s">
        <v>191</v>
      </c>
      <c r="L33" s="9">
        <v>319000</v>
      </c>
      <c r="M33" s="9">
        <v>43000</v>
      </c>
    </row>
    <row r="34" spans="1:13" ht="12.45" customHeight="1">
      <c r="A34" s="15" t="s">
        <v>475</v>
      </c>
      <c r="B34" s="9">
        <v>80000</v>
      </c>
      <c r="C34" s="9">
        <v>65000</v>
      </c>
      <c r="D34" s="9">
        <v>15000</v>
      </c>
      <c r="E34" s="9">
        <v>9000</v>
      </c>
      <c r="F34" s="13" t="s">
        <v>220</v>
      </c>
      <c r="G34" s="9">
        <v>9000</v>
      </c>
      <c r="H34" s="13" t="s">
        <v>191</v>
      </c>
      <c r="I34" s="13" t="s">
        <v>220</v>
      </c>
      <c r="J34" s="9">
        <v>55000</v>
      </c>
      <c r="K34" s="13" t="s">
        <v>191</v>
      </c>
      <c r="L34" s="9">
        <v>69000</v>
      </c>
      <c r="M34" s="9">
        <v>11000</v>
      </c>
    </row>
    <row r="35" spans="1:13" ht="12.45" customHeight="1">
      <c r="A35" s="15" t="s">
        <v>476</v>
      </c>
      <c r="B35" s="9">
        <v>233000</v>
      </c>
      <c r="C35" s="9">
        <v>211000</v>
      </c>
      <c r="D35" s="9">
        <v>22000</v>
      </c>
      <c r="E35" s="9">
        <v>12000</v>
      </c>
      <c r="F35" s="13" t="s">
        <v>220</v>
      </c>
      <c r="G35" s="9">
        <v>27000</v>
      </c>
      <c r="H35" s="9">
        <v>3000</v>
      </c>
      <c r="I35" s="13" t="s">
        <v>220</v>
      </c>
      <c r="J35" s="9">
        <v>191000</v>
      </c>
      <c r="K35" s="9">
        <v>1000</v>
      </c>
      <c r="L35" s="9">
        <v>211000</v>
      </c>
      <c r="M35" s="9">
        <v>22000</v>
      </c>
    </row>
    <row r="36" spans="1:13" ht="12.45" customHeight="1">
      <c r="A36" s="12" t="s">
        <v>489</v>
      </c>
      <c r="B36" s="9">
        <v>200000</v>
      </c>
      <c r="C36" s="9">
        <v>115000</v>
      </c>
      <c r="D36" s="9">
        <v>85000</v>
      </c>
      <c r="E36" s="9">
        <v>31000</v>
      </c>
      <c r="F36" s="13" t="s">
        <v>220</v>
      </c>
      <c r="G36" s="9">
        <v>30000</v>
      </c>
      <c r="H36" s="9">
        <v>31000</v>
      </c>
      <c r="I36" s="13" t="s">
        <v>220</v>
      </c>
      <c r="J36" s="9">
        <v>101000</v>
      </c>
      <c r="K36" s="9">
        <v>4000</v>
      </c>
      <c r="L36" s="9">
        <v>157000</v>
      </c>
      <c r="M36" s="9">
        <v>43000</v>
      </c>
    </row>
    <row r="37" spans="1:13" ht="12.45" customHeight="1">
      <c r="A37" s="15" t="s">
        <v>475</v>
      </c>
      <c r="B37" s="9">
        <v>139000</v>
      </c>
      <c r="C37" s="9">
        <v>94000</v>
      </c>
      <c r="D37" s="9">
        <v>46000</v>
      </c>
      <c r="E37" s="13" t="s">
        <v>191</v>
      </c>
      <c r="F37" s="13" t="s">
        <v>220</v>
      </c>
      <c r="G37" s="9">
        <v>16000</v>
      </c>
      <c r="H37" s="9">
        <v>28000</v>
      </c>
      <c r="I37" s="13" t="s">
        <v>220</v>
      </c>
      <c r="J37" s="9">
        <v>68000</v>
      </c>
      <c r="K37" s="13" t="s">
        <v>220</v>
      </c>
      <c r="L37" s="9">
        <v>112000</v>
      </c>
      <c r="M37" s="9">
        <v>28000</v>
      </c>
    </row>
    <row r="38" spans="1:13" ht="12.45" customHeight="1">
      <c r="A38" s="15" t="s">
        <v>476</v>
      </c>
      <c r="B38" s="9">
        <v>46000</v>
      </c>
      <c r="C38" s="9">
        <v>15000</v>
      </c>
      <c r="D38" s="9">
        <v>31000</v>
      </c>
      <c r="E38" s="9">
        <v>2000</v>
      </c>
      <c r="F38" s="13" t="s">
        <v>220</v>
      </c>
      <c r="G38" s="9">
        <v>8000</v>
      </c>
      <c r="H38" s="13" t="s">
        <v>191</v>
      </c>
      <c r="I38" s="13" t="s">
        <v>220</v>
      </c>
      <c r="J38" s="9">
        <v>32000</v>
      </c>
      <c r="K38" s="13" t="s">
        <v>191</v>
      </c>
      <c r="L38" s="9">
        <v>35000</v>
      </c>
      <c r="M38" s="9">
        <v>12000</v>
      </c>
    </row>
    <row r="39" spans="1:13" ht="12.45" customHeight="1">
      <c r="A39" s="12" t="s">
        <v>490</v>
      </c>
      <c r="B39" s="9">
        <v>1537000</v>
      </c>
      <c r="C39" s="9">
        <v>844000</v>
      </c>
      <c r="D39" s="9">
        <v>694000</v>
      </c>
      <c r="E39" s="9">
        <v>68000</v>
      </c>
      <c r="F39" s="9">
        <v>5000</v>
      </c>
      <c r="G39" s="9">
        <v>90000</v>
      </c>
      <c r="H39" s="9">
        <v>63000</v>
      </c>
      <c r="I39" s="13" t="s">
        <v>191</v>
      </c>
      <c r="J39" s="9">
        <v>1281000</v>
      </c>
      <c r="K39" s="9">
        <v>28000</v>
      </c>
      <c r="L39" s="9">
        <v>1153000</v>
      </c>
      <c r="M39" s="9">
        <v>384000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0" tint="-0.249977111117893"/>
  </sheetPr>
  <dimension ref="A1:N39"/>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39" customHeight="1">
      <c r="A1" s="321" t="s">
        <v>465</v>
      </c>
      <c r="B1" s="321"/>
      <c r="C1" s="321"/>
      <c r="D1" s="321"/>
      <c r="E1" s="321"/>
      <c r="F1" s="321"/>
      <c r="G1" s="321"/>
      <c r="H1" s="321"/>
      <c r="I1" s="321"/>
      <c r="J1" s="321"/>
      <c r="K1" s="321"/>
      <c r="L1" s="321"/>
      <c r="M1" s="321"/>
      <c r="N1" s="321"/>
    </row>
    <row r="2" spans="1:14" ht="1.95" customHeight="1"/>
    <row r="3" spans="1:14" ht="13.95" customHeight="1">
      <c r="A3" s="339" t="s">
        <v>466</v>
      </c>
      <c r="B3" s="345" t="s">
        <v>167</v>
      </c>
      <c r="C3" s="347" t="s">
        <v>282</v>
      </c>
      <c r="D3" s="345" t="s">
        <v>283</v>
      </c>
      <c r="E3" s="349" t="s">
        <v>265</v>
      </c>
      <c r="F3" s="330" t="s">
        <v>266</v>
      </c>
      <c r="G3" s="331"/>
      <c r="H3" s="331"/>
      <c r="I3" s="331"/>
      <c r="J3" s="331"/>
      <c r="K3" s="332"/>
      <c r="L3" s="349" t="s">
        <v>267</v>
      </c>
      <c r="M3" s="349" t="s">
        <v>268</v>
      </c>
    </row>
    <row r="4" spans="1:14" ht="13.95" customHeight="1">
      <c r="A4" s="341"/>
      <c r="B4" s="346"/>
      <c r="C4" s="348"/>
      <c r="D4" s="346"/>
      <c r="E4" s="350"/>
      <c r="F4" s="41" t="s">
        <v>270</v>
      </c>
      <c r="G4" s="41" t="s">
        <v>271</v>
      </c>
      <c r="H4" s="41" t="s">
        <v>272</v>
      </c>
      <c r="I4" s="48" t="s">
        <v>273</v>
      </c>
      <c r="J4" s="41" t="s">
        <v>274</v>
      </c>
      <c r="K4" s="5" t="s">
        <v>275</v>
      </c>
      <c r="L4" s="350"/>
      <c r="M4" s="350"/>
    </row>
    <row r="5" spans="1:14" ht="12.45" customHeight="1">
      <c r="A5" s="18" t="s">
        <v>491</v>
      </c>
      <c r="B5" s="7">
        <v>186000</v>
      </c>
      <c r="C5" s="7">
        <v>112000</v>
      </c>
      <c r="D5" s="7">
        <v>74000</v>
      </c>
      <c r="E5" s="7">
        <v>31000</v>
      </c>
      <c r="F5" s="19" t="s">
        <v>220</v>
      </c>
      <c r="G5" s="7">
        <v>36000</v>
      </c>
      <c r="H5" s="7">
        <v>12000</v>
      </c>
      <c r="I5" s="19" t="s">
        <v>220</v>
      </c>
      <c r="J5" s="7">
        <v>102000</v>
      </c>
      <c r="K5" s="7">
        <v>5000</v>
      </c>
      <c r="L5" s="7">
        <v>168000</v>
      </c>
      <c r="M5" s="7">
        <v>18000</v>
      </c>
    </row>
    <row r="6" spans="1:14" ht="12.45" customHeight="1">
      <c r="A6" s="12" t="s">
        <v>492</v>
      </c>
      <c r="B6" s="9">
        <v>168000</v>
      </c>
      <c r="C6" s="9">
        <v>116000</v>
      </c>
      <c r="D6" s="9">
        <v>53000</v>
      </c>
      <c r="E6" s="13" t="s">
        <v>191</v>
      </c>
      <c r="F6" s="13" t="s">
        <v>220</v>
      </c>
      <c r="G6" s="9">
        <v>19000</v>
      </c>
      <c r="H6" s="9">
        <v>19000</v>
      </c>
      <c r="I6" s="13" t="s">
        <v>220</v>
      </c>
      <c r="J6" s="9">
        <v>91000</v>
      </c>
      <c r="K6" s="9">
        <v>13000</v>
      </c>
      <c r="L6" s="9">
        <v>132000</v>
      </c>
      <c r="M6" s="9">
        <v>37000</v>
      </c>
    </row>
    <row r="7" spans="1:14" ht="12.45" customHeight="1">
      <c r="A7" s="12" t="s">
        <v>493</v>
      </c>
      <c r="B7" s="9">
        <v>118000</v>
      </c>
      <c r="C7" s="9">
        <v>88000</v>
      </c>
      <c r="D7" s="9">
        <v>29000</v>
      </c>
      <c r="E7" s="9">
        <v>15000</v>
      </c>
      <c r="F7" s="13" t="s">
        <v>220</v>
      </c>
      <c r="G7" s="9">
        <v>29000</v>
      </c>
      <c r="H7" s="13" t="s">
        <v>191</v>
      </c>
      <c r="I7" s="13" t="s">
        <v>220</v>
      </c>
      <c r="J7" s="9">
        <v>63000</v>
      </c>
      <c r="K7" s="13" t="s">
        <v>191</v>
      </c>
      <c r="L7" s="9">
        <v>101000</v>
      </c>
      <c r="M7" s="9">
        <v>17000</v>
      </c>
    </row>
    <row r="8" spans="1:14" ht="12.45" customHeight="1">
      <c r="A8" s="8" t="s">
        <v>176</v>
      </c>
      <c r="B8" s="9">
        <v>46349000</v>
      </c>
      <c r="C8" s="9">
        <v>25935000</v>
      </c>
      <c r="D8" s="9">
        <v>20414000</v>
      </c>
      <c r="E8" s="9">
        <v>4731000</v>
      </c>
      <c r="F8" s="9">
        <v>144000</v>
      </c>
      <c r="G8" s="9">
        <v>3298000</v>
      </c>
      <c r="H8" s="9">
        <v>3912000</v>
      </c>
      <c r="I8" s="9">
        <v>99000</v>
      </c>
      <c r="J8" s="9">
        <v>33027000</v>
      </c>
      <c r="K8" s="9">
        <v>1139000</v>
      </c>
      <c r="L8" s="9">
        <v>39126000</v>
      </c>
      <c r="M8" s="9">
        <v>7223000</v>
      </c>
    </row>
    <row r="9" spans="1:14" ht="12.45" customHeight="1">
      <c r="A9" s="10" t="s">
        <v>467</v>
      </c>
      <c r="B9" s="9">
        <v>28948000</v>
      </c>
      <c r="C9" s="9">
        <v>15216000</v>
      </c>
      <c r="D9" s="9">
        <v>13732000</v>
      </c>
      <c r="E9" s="9">
        <v>3260000</v>
      </c>
      <c r="F9" s="9">
        <v>78000</v>
      </c>
      <c r="G9" s="9">
        <v>2151000</v>
      </c>
      <c r="H9" s="9">
        <v>2592000</v>
      </c>
      <c r="I9" s="9">
        <v>78000</v>
      </c>
      <c r="J9" s="9">
        <v>20017000</v>
      </c>
      <c r="K9" s="9">
        <v>773000</v>
      </c>
      <c r="L9" s="9">
        <v>25384000</v>
      </c>
      <c r="M9" s="9">
        <v>3564000</v>
      </c>
    </row>
    <row r="10" spans="1:14" ht="12.45" customHeight="1">
      <c r="A10" s="10" t="s">
        <v>468</v>
      </c>
      <c r="B10" s="9">
        <v>5400000</v>
      </c>
      <c r="C10" s="9">
        <v>3483000</v>
      </c>
      <c r="D10" s="9">
        <v>1917000</v>
      </c>
      <c r="E10" s="9">
        <v>512000</v>
      </c>
      <c r="F10" s="9">
        <v>16000</v>
      </c>
      <c r="G10" s="9">
        <v>395000</v>
      </c>
      <c r="H10" s="9">
        <v>363000</v>
      </c>
      <c r="I10" s="9">
        <v>5000</v>
      </c>
      <c r="J10" s="9">
        <v>4001000</v>
      </c>
      <c r="K10" s="9">
        <v>107000</v>
      </c>
      <c r="L10" s="9">
        <v>4502000</v>
      </c>
      <c r="M10" s="9">
        <v>898000</v>
      </c>
    </row>
    <row r="11" spans="1:14" ht="12.45" customHeight="1">
      <c r="A11" s="10" t="s">
        <v>469</v>
      </c>
      <c r="B11" s="53"/>
      <c r="C11" s="53"/>
      <c r="D11" s="53"/>
      <c r="E11" s="53"/>
      <c r="F11" s="53"/>
      <c r="G11" s="53"/>
      <c r="H11" s="53"/>
      <c r="I11" s="53"/>
      <c r="J11" s="53"/>
      <c r="K11" s="53"/>
      <c r="L11" s="53"/>
      <c r="M11" s="53"/>
    </row>
    <row r="12" spans="1:14" ht="12.45" customHeight="1">
      <c r="A12" s="12" t="s">
        <v>470</v>
      </c>
      <c r="B12" s="9">
        <v>4101000</v>
      </c>
      <c r="C12" s="9">
        <v>2683000</v>
      </c>
      <c r="D12" s="9">
        <v>1418000</v>
      </c>
      <c r="E12" s="9">
        <v>283000</v>
      </c>
      <c r="F12" s="9">
        <v>14000</v>
      </c>
      <c r="G12" s="9">
        <v>254000</v>
      </c>
      <c r="H12" s="9">
        <v>202000</v>
      </c>
      <c r="I12" s="13" t="s">
        <v>191</v>
      </c>
      <c r="J12" s="9">
        <v>3258000</v>
      </c>
      <c r="K12" s="9">
        <v>84000</v>
      </c>
      <c r="L12" s="9">
        <v>3447000</v>
      </c>
      <c r="M12" s="9">
        <v>653000</v>
      </c>
    </row>
    <row r="13" spans="1:14" ht="12.45" customHeight="1">
      <c r="A13" s="12" t="s">
        <v>471</v>
      </c>
      <c r="B13" s="9">
        <v>1300000</v>
      </c>
      <c r="C13" s="9">
        <v>800000</v>
      </c>
      <c r="D13" s="9">
        <v>499000</v>
      </c>
      <c r="E13" s="9">
        <v>229000</v>
      </c>
      <c r="F13" s="13" t="s">
        <v>191</v>
      </c>
      <c r="G13" s="9">
        <v>141000</v>
      </c>
      <c r="H13" s="9">
        <v>161000</v>
      </c>
      <c r="I13" s="9">
        <v>1000</v>
      </c>
      <c r="J13" s="9">
        <v>743000</v>
      </c>
      <c r="K13" s="9">
        <v>23000</v>
      </c>
      <c r="L13" s="9">
        <v>1055000</v>
      </c>
      <c r="M13" s="9">
        <v>245000</v>
      </c>
    </row>
    <row r="14" spans="1:14" ht="12.45" customHeight="1">
      <c r="A14" s="10" t="s">
        <v>472</v>
      </c>
      <c r="B14" s="53"/>
      <c r="C14" s="53"/>
      <c r="D14" s="53"/>
      <c r="E14" s="53"/>
      <c r="F14" s="53"/>
      <c r="G14" s="53"/>
      <c r="H14" s="53"/>
      <c r="I14" s="53"/>
      <c r="J14" s="53"/>
      <c r="K14" s="53"/>
      <c r="L14" s="53"/>
      <c r="M14" s="53"/>
    </row>
    <row r="15" spans="1:14" ht="12.45" customHeight="1">
      <c r="A15" s="12" t="s">
        <v>473</v>
      </c>
      <c r="B15" s="9">
        <v>2311000</v>
      </c>
      <c r="C15" s="9">
        <v>1563000</v>
      </c>
      <c r="D15" s="9">
        <v>748000</v>
      </c>
      <c r="E15" s="9">
        <v>136000</v>
      </c>
      <c r="F15" s="13" t="s">
        <v>191</v>
      </c>
      <c r="G15" s="9">
        <v>128000</v>
      </c>
      <c r="H15" s="9">
        <v>92000</v>
      </c>
      <c r="I15" s="13" t="s">
        <v>220</v>
      </c>
      <c r="J15" s="9">
        <v>1881000</v>
      </c>
      <c r="K15" s="9">
        <v>62000</v>
      </c>
      <c r="L15" s="9">
        <v>1948000</v>
      </c>
      <c r="M15" s="9">
        <v>363000</v>
      </c>
    </row>
    <row r="16" spans="1:14" ht="12.45" customHeight="1">
      <c r="A16" s="12" t="s">
        <v>474</v>
      </c>
      <c r="B16" s="9">
        <v>1715000</v>
      </c>
      <c r="C16" s="9">
        <v>1315000</v>
      </c>
      <c r="D16" s="9">
        <v>400000</v>
      </c>
      <c r="E16" s="9">
        <v>185000</v>
      </c>
      <c r="F16" s="13" t="s">
        <v>191</v>
      </c>
      <c r="G16" s="9">
        <v>177000</v>
      </c>
      <c r="H16" s="9">
        <v>94000</v>
      </c>
      <c r="I16" s="13" t="s">
        <v>191</v>
      </c>
      <c r="J16" s="9">
        <v>1218000</v>
      </c>
      <c r="K16" s="9">
        <v>30000</v>
      </c>
      <c r="L16" s="9">
        <v>1499000</v>
      </c>
      <c r="M16" s="9">
        <v>216000</v>
      </c>
    </row>
    <row r="17" spans="1:13" ht="12.45" customHeight="1">
      <c r="A17" s="15" t="s">
        <v>475</v>
      </c>
      <c r="B17" s="9">
        <v>329000</v>
      </c>
      <c r="C17" s="9">
        <v>232000</v>
      </c>
      <c r="D17" s="9">
        <v>97000</v>
      </c>
      <c r="E17" s="9">
        <v>77000</v>
      </c>
      <c r="F17" s="13" t="s">
        <v>220</v>
      </c>
      <c r="G17" s="9">
        <v>31000</v>
      </c>
      <c r="H17" s="9">
        <v>20000</v>
      </c>
      <c r="I17" s="13" t="s">
        <v>220</v>
      </c>
      <c r="J17" s="9">
        <v>197000</v>
      </c>
      <c r="K17" s="9">
        <v>3000</v>
      </c>
      <c r="L17" s="9">
        <v>297000</v>
      </c>
      <c r="M17" s="9">
        <v>32000</v>
      </c>
    </row>
    <row r="18" spans="1:13" ht="12.45" customHeight="1">
      <c r="A18" s="15" t="s">
        <v>476</v>
      </c>
      <c r="B18" s="9">
        <v>806000</v>
      </c>
      <c r="C18" s="9">
        <v>633000</v>
      </c>
      <c r="D18" s="9">
        <v>173000</v>
      </c>
      <c r="E18" s="9">
        <v>52000</v>
      </c>
      <c r="F18" s="13" t="s">
        <v>220</v>
      </c>
      <c r="G18" s="9">
        <v>74000</v>
      </c>
      <c r="H18" s="9">
        <v>33000</v>
      </c>
      <c r="I18" s="13" t="s">
        <v>220</v>
      </c>
      <c r="J18" s="9">
        <v>627000</v>
      </c>
      <c r="K18" s="9">
        <v>17000</v>
      </c>
      <c r="L18" s="9">
        <v>699000</v>
      </c>
      <c r="M18" s="9">
        <v>107000</v>
      </c>
    </row>
    <row r="19" spans="1:13" ht="12.45" customHeight="1">
      <c r="A19" s="12" t="s">
        <v>477</v>
      </c>
      <c r="B19" s="9">
        <v>1294000</v>
      </c>
      <c r="C19" s="9">
        <v>843000</v>
      </c>
      <c r="D19" s="9">
        <v>450000</v>
      </c>
      <c r="E19" s="9">
        <v>168000</v>
      </c>
      <c r="F19" s="13" t="s">
        <v>191</v>
      </c>
      <c r="G19" s="9">
        <v>123000</v>
      </c>
      <c r="H19" s="9">
        <v>114000</v>
      </c>
      <c r="I19" s="13" t="s">
        <v>191</v>
      </c>
      <c r="J19" s="9">
        <v>851000</v>
      </c>
      <c r="K19" s="9">
        <v>30000</v>
      </c>
      <c r="L19" s="9">
        <v>1064000</v>
      </c>
      <c r="M19" s="9">
        <v>230000</v>
      </c>
    </row>
    <row r="20" spans="1:13" ht="12.45" customHeight="1">
      <c r="A20" s="15" t="s">
        <v>475</v>
      </c>
      <c r="B20" s="9">
        <v>463000</v>
      </c>
      <c r="C20" s="9">
        <v>267000</v>
      </c>
      <c r="D20" s="9">
        <v>196000</v>
      </c>
      <c r="E20" s="9">
        <v>70000</v>
      </c>
      <c r="F20" s="13" t="s">
        <v>220</v>
      </c>
      <c r="G20" s="9">
        <v>53000</v>
      </c>
      <c r="H20" s="9">
        <v>65000</v>
      </c>
      <c r="I20" s="13" t="s">
        <v>191</v>
      </c>
      <c r="J20" s="9">
        <v>257000</v>
      </c>
      <c r="K20" s="9">
        <v>17000</v>
      </c>
      <c r="L20" s="9">
        <v>394000</v>
      </c>
      <c r="M20" s="9">
        <v>69000</v>
      </c>
    </row>
    <row r="21" spans="1:13" ht="12.45" customHeight="1">
      <c r="A21" s="15" t="s">
        <v>476</v>
      </c>
      <c r="B21" s="9">
        <v>646000</v>
      </c>
      <c r="C21" s="9">
        <v>452000</v>
      </c>
      <c r="D21" s="9">
        <v>195000</v>
      </c>
      <c r="E21" s="9">
        <v>80000</v>
      </c>
      <c r="F21" s="13" t="s">
        <v>191</v>
      </c>
      <c r="G21" s="9">
        <v>54000</v>
      </c>
      <c r="H21" s="9">
        <v>39000</v>
      </c>
      <c r="I21" s="13" t="s">
        <v>220</v>
      </c>
      <c r="J21" s="9">
        <v>460000</v>
      </c>
      <c r="K21" s="9">
        <v>9000</v>
      </c>
      <c r="L21" s="9">
        <v>526000</v>
      </c>
      <c r="M21" s="9">
        <v>120000</v>
      </c>
    </row>
    <row r="22" spans="1:13" ht="12.45" customHeight="1">
      <c r="A22" s="12" t="s">
        <v>478</v>
      </c>
      <c r="B22" s="9">
        <v>724000</v>
      </c>
      <c r="C22" s="9">
        <v>498000</v>
      </c>
      <c r="D22" s="9">
        <v>226000</v>
      </c>
      <c r="E22" s="9">
        <v>82000</v>
      </c>
      <c r="F22" s="13" t="s">
        <v>191</v>
      </c>
      <c r="G22" s="9">
        <v>55000</v>
      </c>
      <c r="H22" s="9">
        <v>43000</v>
      </c>
      <c r="I22" s="13" t="s">
        <v>220</v>
      </c>
      <c r="J22" s="9">
        <v>530000</v>
      </c>
      <c r="K22" s="9">
        <v>13000</v>
      </c>
      <c r="L22" s="9">
        <v>649000</v>
      </c>
      <c r="M22" s="9">
        <v>75000</v>
      </c>
    </row>
    <row r="23" spans="1:13" ht="12.45" customHeight="1">
      <c r="A23" s="12" t="s">
        <v>479</v>
      </c>
      <c r="B23" s="9">
        <v>1720000</v>
      </c>
      <c r="C23" s="9">
        <v>1036000</v>
      </c>
      <c r="D23" s="9">
        <v>684000</v>
      </c>
      <c r="E23" s="9">
        <v>167000</v>
      </c>
      <c r="F23" s="9">
        <v>6000</v>
      </c>
      <c r="G23" s="9">
        <v>136000</v>
      </c>
      <c r="H23" s="9">
        <v>141000</v>
      </c>
      <c r="I23" s="9">
        <v>1000</v>
      </c>
      <c r="J23" s="9">
        <v>1235000</v>
      </c>
      <c r="K23" s="9">
        <v>35000</v>
      </c>
      <c r="L23" s="9">
        <v>1412000</v>
      </c>
      <c r="M23" s="9">
        <v>308000</v>
      </c>
    </row>
    <row r="24" spans="1:13" ht="12.45" customHeight="1">
      <c r="A24" s="15" t="s">
        <v>475</v>
      </c>
      <c r="B24" s="9">
        <v>967000</v>
      </c>
      <c r="C24" s="9">
        <v>618000</v>
      </c>
      <c r="D24" s="9">
        <v>349000</v>
      </c>
      <c r="E24" s="9">
        <v>121000</v>
      </c>
      <c r="F24" s="9">
        <v>3000</v>
      </c>
      <c r="G24" s="9">
        <v>65000</v>
      </c>
      <c r="H24" s="9">
        <v>86000</v>
      </c>
      <c r="I24" s="9">
        <v>1000</v>
      </c>
      <c r="J24" s="9">
        <v>664000</v>
      </c>
      <c r="K24" s="9">
        <v>26000</v>
      </c>
      <c r="L24" s="9">
        <v>793000</v>
      </c>
      <c r="M24" s="9">
        <v>173000</v>
      </c>
    </row>
    <row r="25" spans="1:13" ht="12.45" customHeight="1">
      <c r="A25" s="15" t="s">
        <v>476</v>
      </c>
      <c r="B25" s="9">
        <v>543000</v>
      </c>
      <c r="C25" s="9">
        <v>282000</v>
      </c>
      <c r="D25" s="9">
        <v>261000</v>
      </c>
      <c r="E25" s="9">
        <v>23000</v>
      </c>
      <c r="F25" s="13" t="s">
        <v>220</v>
      </c>
      <c r="G25" s="9">
        <v>41000</v>
      </c>
      <c r="H25" s="9">
        <v>18000</v>
      </c>
      <c r="I25" s="13" t="s">
        <v>220</v>
      </c>
      <c r="J25" s="9">
        <v>453000</v>
      </c>
      <c r="K25" s="9">
        <v>5000</v>
      </c>
      <c r="L25" s="9">
        <v>447000</v>
      </c>
      <c r="M25" s="9">
        <v>96000</v>
      </c>
    </row>
    <row r="26" spans="1:13" ht="12.45" customHeight="1">
      <c r="A26" s="12" t="s">
        <v>480</v>
      </c>
      <c r="B26" s="9">
        <v>1429000</v>
      </c>
      <c r="C26" s="9">
        <v>684000</v>
      </c>
      <c r="D26" s="9">
        <v>745000</v>
      </c>
      <c r="E26" s="9">
        <v>79000</v>
      </c>
      <c r="F26" s="13" t="s">
        <v>220</v>
      </c>
      <c r="G26" s="9">
        <v>49000</v>
      </c>
      <c r="H26" s="9">
        <v>74000</v>
      </c>
      <c r="I26" s="13" t="s">
        <v>220</v>
      </c>
      <c r="J26" s="9">
        <v>1208000</v>
      </c>
      <c r="K26" s="9">
        <v>11000</v>
      </c>
      <c r="L26" s="9">
        <v>1110000</v>
      </c>
      <c r="M26" s="9">
        <v>319000</v>
      </c>
    </row>
    <row r="27" spans="1:13" ht="12.45" customHeight="1">
      <c r="A27" s="12" t="s">
        <v>481</v>
      </c>
      <c r="B27" s="9">
        <v>418000</v>
      </c>
      <c r="C27" s="9">
        <v>268000</v>
      </c>
      <c r="D27" s="9">
        <v>150000</v>
      </c>
      <c r="E27" s="9">
        <v>57000</v>
      </c>
      <c r="F27" s="13" t="s">
        <v>191</v>
      </c>
      <c r="G27" s="9">
        <v>46000</v>
      </c>
      <c r="H27" s="9">
        <v>88000</v>
      </c>
      <c r="I27" s="13" t="s">
        <v>220</v>
      </c>
      <c r="J27" s="9">
        <v>217000</v>
      </c>
      <c r="K27" s="9">
        <v>9000</v>
      </c>
      <c r="L27" s="9">
        <v>334000</v>
      </c>
      <c r="M27" s="9">
        <v>84000</v>
      </c>
    </row>
    <row r="28" spans="1:13" ht="12.45" customHeight="1">
      <c r="A28" s="12" t="s">
        <v>482</v>
      </c>
      <c r="B28" s="9">
        <v>705000</v>
      </c>
      <c r="C28" s="9">
        <v>465000</v>
      </c>
      <c r="D28" s="9">
        <v>239000</v>
      </c>
      <c r="E28" s="9">
        <v>89000</v>
      </c>
      <c r="F28" s="13" t="s">
        <v>220</v>
      </c>
      <c r="G28" s="9">
        <v>71000</v>
      </c>
      <c r="H28" s="9">
        <v>59000</v>
      </c>
      <c r="I28" s="13" t="s">
        <v>220</v>
      </c>
      <c r="J28" s="9">
        <v>477000</v>
      </c>
      <c r="K28" s="9">
        <v>7000</v>
      </c>
      <c r="L28" s="9">
        <v>502000</v>
      </c>
      <c r="M28" s="9">
        <v>203000</v>
      </c>
    </row>
    <row r="29" spans="1:13" ht="12.45" customHeight="1">
      <c r="A29" s="12" t="s">
        <v>483</v>
      </c>
      <c r="B29" s="9">
        <v>10159000</v>
      </c>
      <c r="C29" s="9">
        <v>6287000</v>
      </c>
      <c r="D29" s="9">
        <v>3872000</v>
      </c>
      <c r="E29" s="9">
        <v>742000</v>
      </c>
      <c r="F29" s="9">
        <v>38000</v>
      </c>
      <c r="G29" s="9">
        <v>547000</v>
      </c>
      <c r="H29" s="9">
        <v>677000</v>
      </c>
      <c r="I29" s="9">
        <v>14000</v>
      </c>
      <c r="J29" s="9">
        <v>7969000</v>
      </c>
      <c r="K29" s="9">
        <v>171000</v>
      </c>
      <c r="L29" s="9">
        <v>7705000</v>
      </c>
      <c r="M29" s="9">
        <v>2454000</v>
      </c>
    </row>
    <row r="30" spans="1:13" ht="12.45" customHeight="1">
      <c r="A30" s="12" t="s">
        <v>484</v>
      </c>
      <c r="B30" s="9">
        <v>1841000</v>
      </c>
      <c r="C30" s="9">
        <v>949000</v>
      </c>
      <c r="D30" s="9">
        <v>892000</v>
      </c>
      <c r="E30" s="9">
        <v>216000</v>
      </c>
      <c r="F30" s="13" t="s">
        <v>191</v>
      </c>
      <c r="G30" s="9">
        <v>204000</v>
      </c>
      <c r="H30" s="9">
        <v>280000</v>
      </c>
      <c r="I30" s="13" t="s">
        <v>220</v>
      </c>
      <c r="J30" s="9">
        <v>1039000</v>
      </c>
      <c r="K30" s="9">
        <v>88000</v>
      </c>
      <c r="L30" s="9">
        <v>1534000</v>
      </c>
      <c r="M30" s="9">
        <v>307000</v>
      </c>
    </row>
    <row r="31" spans="1:13" ht="12.45" customHeight="1">
      <c r="A31" s="10" t="s">
        <v>485</v>
      </c>
      <c r="B31" s="53"/>
      <c r="C31" s="53"/>
      <c r="D31" s="53"/>
      <c r="E31" s="53"/>
      <c r="F31" s="53"/>
      <c r="G31" s="53"/>
      <c r="H31" s="53"/>
      <c r="I31" s="53"/>
      <c r="J31" s="53"/>
      <c r="K31" s="53"/>
      <c r="L31" s="53"/>
      <c r="M31" s="53"/>
    </row>
    <row r="32" spans="1:13" ht="12.45" customHeight="1">
      <c r="A32" s="12" t="s">
        <v>486</v>
      </c>
      <c r="B32" s="9">
        <v>851000</v>
      </c>
      <c r="C32" s="9">
        <v>447000</v>
      </c>
      <c r="D32" s="9">
        <v>404000</v>
      </c>
      <c r="E32" s="9">
        <v>87000</v>
      </c>
      <c r="F32" s="9">
        <v>19000</v>
      </c>
      <c r="G32" s="9">
        <v>35000</v>
      </c>
      <c r="H32" s="9">
        <v>128000</v>
      </c>
      <c r="I32" s="13" t="s">
        <v>220</v>
      </c>
      <c r="J32" s="9">
        <v>542000</v>
      </c>
      <c r="K32" s="9">
        <v>40000</v>
      </c>
      <c r="L32" s="9">
        <v>181000</v>
      </c>
      <c r="M32" s="9">
        <v>670000</v>
      </c>
    </row>
    <row r="33" spans="1:13" ht="12.45" customHeight="1">
      <c r="A33" s="12" t="s">
        <v>487</v>
      </c>
      <c r="B33" s="9">
        <v>2530000</v>
      </c>
      <c r="C33" s="9">
        <v>1715000</v>
      </c>
      <c r="D33" s="9">
        <v>815000</v>
      </c>
      <c r="E33" s="9">
        <v>156000</v>
      </c>
      <c r="F33" s="13" t="s">
        <v>191</v>
      </c>
      <c r="G33" s="9">
        <v>137000</v>
      </c>
      <c r="H33" s="9">
        <v>138000</v>
      </c>
      <c r="I33" s="13" t="s">
        <v>220</v>
      </c>
      <c r="J33" s="9">
        <v>2037000</v>
      </c>
      <c r="K33" s="9">
        <v>46000</v>
      </c>
      <c r="L33" s="9">
        <v>2036000</v>
      </c>
      <c r="M33" s="9">
        <v>494000</v>
      </c>
    </row>
    <row r="34" spans="1:13" ht="12.45" customHeight="1">
      <c r="A34" s="12" t="s">
        <v>488</v>
      </c>
      <c r="B34" s="9">
        <v>2125000</v>
      </c>
      <c r="C34" s="9">
        <v>1736000</v>
      </c>
      <c r="D34" s="9">
        <v>389000</v>
      </c>
      <c r="E34" s="9">
        <v>266000</v>
      </c>
      <c r="F34" s="13" t="s">
        <v>191</v>
      </c>
      <c r="G34" s="9">
        <v>178000</v>
      </c>
      <c r="H34" s="9">
        <v>166000</v>
      </c>
      <c r="I34" s="13" t="s">
        <v>220</v>
      </c>
      <c r="J34" s="9">
        <v>1442000</v>
      </c>
      <c r="K34" s="9">
        <v>62000</v>
      </c>
      <c r="L34" s="9">
        <v>1799000</v>
      </c>
      <c r="M34" s="9">
        <v>326000</v>
      </c>
    </row>
    <row r="35" spans="1:13" ht="12.45" customHeight="1">
      <c r="A35" s="15" t="s">
        <v>475</v>
      </c>
      <c r="B35" s="9">
        <v>527000</v>
      </c>
      <c r="C35" s="9">
        <v>421000</v>
      </c>
      <c r="D35" s="9">
        <v>107000</v>
      </c>
      <c r="E35" s="9">
        <v>117000</v>
      </c>
      <c r="F35" s="13" t="s">
        <v>220</v>
      </c>
      <c r="G35" s="9">
        <v>43000</v>
      </c>
      <c r="H35" s="9">
        <v>79000</v>
      </c>
      <c r="I35" s="13" t="s">
        <v>220</v>
      </c>
      <c r="J35" s="9">
        <v>279000</v>
      </c>
      <c r="K35" s="9">
        <v>7000</v>
      </c>
      <c r="L35" s="9">
        <v>428000</v>
      </c>
      <c r="M35" s="9">
        <v>99000</v>
      </c>
    </row>
    <row r="36" spans="1:13" ht="12.45" customHeight="1">
      <c r="A36" s="15" t="s">
        <v>476</v>
      </c>
      <c r="B36" s="9">
        <v>1229000</v>
      </c>
      <c r="C36" s="9">
        <v>1052000</v>
      </c>
      <c r="D36" s="9">
        <v>177000</v>
      </c>
      <c r="E36" s="9">
        <v>110000</v>
      </c>
      <c r="F36" s="13" t="s">
        <v>220</v>
      </c>
      <c r="G36" s="9">
        <v>92000</v>
      </c>
      <c r="H36" s="9">
        <v>57000</v>
      </c>
      <c r="I36" s="13" t="s">
        <v>220</v>
      </c>
      <c r="J36" s="9">
        <v>925000</v>
      </c>
      <c r="K36" s="9">
        <v>44000</v>
      </c>
      <c r="L36" s="9">
        <v>1079000</v>
      </c>
      <c r="M36" s="9">
        <v>150000</v>
      </c>
    </row>
    <row r="37" spans="1:13" ht="12.45" customHeight="1">
      <c r="A37" s="12" t="s">
        <v>489</v>
      </c>
      <c r="B37" s="9">
        <v>1775000</v>
      </c>
      <c r="C37" s="9">
        <v>900000</v>
      </c>
      <c r="D37" s="9">
        <v>875000</v>
      </c>
      <c r="E37" s="9">
        <v>286000</v>
      </c>
      <c r="F37" s="13" t="s">
        <v>191</v>
      </c>
      <c r="G37" s="9">
        <v>164000</v>
      </c>
      <c r="H37" s="9">
        <v>229000</v>
      </c>
      <c r="I37" s="13" t="s">
        <v>220</v>
      </c>
      <c r="J37" s="9">
        <v>1037000</v>
      </c>
      <c r="K37" s="9">
        <v>47000</v>
      </c>
      <c r="L37" s="9">
        <v>1424000</v>
      </c>
      <c r="M37" s="9">
        <v>351000</v>
      </c>
    </row>
    <row r="38" spans="1:13" ht="12.45" customHeight="1">
      <c r="A38" s="15" t="s">
        <v>475</v>
      </c>
      <c r="B38" s="9">
        <v>1257000</v>
      </c>
      <c r="C38" s="9">
        <v>664000</v>
      </c>
      <c r="D38" s="9">
        <v>593000</v>
      </c>
      <c r="E38" s="9">
        <v>211000</v>
      </c>
      <c r="F38" s="13" t="s">
        <v>220</v>
      </c>
      <c r="G38" s="9">
        <v>113000</v>
      </c>
      <c r="H38" s="9">
        <v>145000</v>
      </c>
      <c r="I38" s="13" t="s">
        <v>220</v>
      </c>
      <c r="J38" s="9">
        <v>754000</v>
      </c>
      <c r="K38" s="9">
        <v>31000</v>
      </c>
      <c r="L38" s="9">
        <v>1005000</v>
      </c>
      <c r="M38" s="9">
        <v>252000</v>
      </c>
    </row>
    <row r="39" spans="1:13" ht="12.45" customHeight="1">
      <c r="A39" s="15" t="s">
        <v>476</v>
      </c>
      <c r="B39" s="9">
        <v>441000</v>
      </c>
      <c r="C39" s="9">
        <v>190000</v>
      </c>
      <c r="D39" s="9">
        <v>251000</v>
      </c>
      <c r="E39" s="9">
        <v>69000</v>
      </c>
      <c r="F39" s="13" t="s">
        <v>220</v>
      </c>
      <c r="G39" s="9">
        <v>43000</v>
      </c>
      <c r="H39" s="9">
        <v>65000</v>
      </c>
      <c r="I39" s="13" t="s">
        <v>220</v>
      </c>
      <c r="J39" s="9">
        <v>242000</v>
      </c>
      <c r="K39" s="9">
        <v>14000</v>
      </c>
      <c r="L39" s="9">
        <v>374000</v>
      </c>
      <c r="M39" s="9">
        <v>67000</v>
      </c>
    </row>
  </sheetData>
  <mergeCells count="9">
    <mergeCell ref="A1:N1"/>
    <mergeCell ref="A3:A4"/>
    <mergeCell ref="B3:B4"/>
    <mergeCell ref="C3:C4"/>
    <mergeCell ref="D3:D4"/>
    <mergeCell ref="E3:E4"/>
    <mergeCell ref="F3:K3"/>
    <mergeCell ref="L3:L4"/>
    <mergeCell ref="M3:M4"/>
  </mergeCell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0" tint="-0.249977111117893"/>
  </sheetPr>
  <dimension ref="A1:N10"/>
  <sheetViews>
    <sheetView workbookViewId="0">
      <selection sqref="A1:Z1"/>
    </sheetView>
  </sheetViews>
  <sheetFormatPr defaultRowHeight="13.2"/>
  <cols>
    <col min="1" max="1" width="79.33203125" customWidth="1"/>
    <col min="2" max="2" width="14.109375" customWidth="1"/>
    <col min="3" max="3" width="14" customWidth="1"/>
    <col min="4" max="4" width="14.109375" customWidth="1"/>
    <col min="5" max="5" width="21.109375" customWidth="1"/>
    <col min="6" max="6" width="37.77734375" customWidth="1"/>
    <col min="7" max="7" width="12.6640625" customWidth="1"/>
    <col min="8" max="8" width="30" customWidth="1"/>
    <col min="9" max="9" width="46" customWidth="1"/>
    <col min="10" max="10" width="14.109375" customWidth="1"/>
    <col min="11" max="11" width="22.44140625" customWidth="1"/>
    <col min="12" max="12" width="20.44140625" customWidth="1"/>
    <col min="13" max="13" width="16.6640625" customWidth="1"/>
    <col min="14" max="14" width="2.44140625" customWidth="1"/>
  </cols>
  <sheetData>
    <row r="1" spans="1:14" ht="42.75" customHeight="1">
      <c r="A1" s="321" t="s">
        <v>465</v>
      </c>
      <c r="B1" s="321"/>
      <c r="C1" s="321"/>
      <c r="D1" s="321"/>
      <c r="E1" s="321"/>
      <c r="F1" s="321"/>
      <c r="G1" s="321"/>
      <c r="H1" s="321"/>
      <c r="I1" s="321"/>
      <c r="J1" s="321"/>
      <c r="K1" s="321"/>
      <c r="L1" s="321"/>
      <c r="M1" s="321"/>
      <c r="N1" s="321"/>
    </row>
    <row r="2" spans="1:14" ht="13.95" customHeight="1">
      <c r="A2" s="339" t="s">
        <v>466</v>
      </c>
      <c r="B2" s="345" t="s">
        <v>167</v>
      </c>
      <c r="C2" s="347" t="s">
        <v>282</v>
      </c>
      <c r="D2" s="345" t="s">
        <v>283</v>
      </c>
      <c r="E2" s="349" t="s">
        <v>265</v>
      </c>
      <c r="F2" s="330" t="s">
        <v>266</v>
      </c>
      <c r="G2" s="331"/>
      <c r="H2" s="331"/>
      <c r="I2" s="331"/>
      <c r="J2" s="331"/>
      <c r="K2" s="332"/>
      <c r="L2" s="349" t="s">
        <v>267</v>
      </c>
      <c r="M2" s="349" t="s">
        <v>268</v>
      </c>
    </row>
    <row r="3" spans="1:14" ht="13.95" customHeight="1">
      <c r="A3" s="341"/>
      <c r="B3" s="346"/>
      <c r="C3" s="348"/>
      <c r="D3" s="346"/>
      <c r="E3" s="350"/>
      <c r="F3" s="41" t="s">
        <v>270</v>
      </c>
      <c r="G3" s="41" t="s">
        <v>271</v>
      </c>
      <c r="H3" s="41" t="s">
        <v>272</v>
      </c>
      <c r="I3" s="48" t="s">
        <v>273</v>
      </c>
      <c r="J3" s="41" t="s">
        <v>274</v>
      </c>
      <c r="K3" s="5" t="s">
        <v>275</v>
      </c>
      <c r="L3" s="350"/>
      <c r="M3" s="350"/>
    </row>
    <row r="4" spans="1:14" ht="12.45" customHeight="1">
      <c r="A4" s="18" t="s">
        <v>490</v>
      </c>
      <c r="B4" s="7">
        <v>7034000</v>
      </c>
      <c r="C4" s="7">
        <v>3823000</v>
      </c>
      <c r="D4" s="7">
        <v>3210000</v>
      </c>
      <c r="E4" s="7">
        <v>364000</v>
      </c>
      <c r="F4" s="7">
        <v>30000</v>
      </c>
      <c r="G4" s="7">
        <v>292000</v>
      </c>
      <c r="H4" s="7">
        <v>469000</v>
      </c>
      <c r="I4" s="19" t="s">
        <v>191</v>
      </c>
      <c r="J4" s="7">
        <v>5781000</v>
      </c>
      <c r="K4" s="7">
        <v>88000</v>
      </c>
      <c r="L4" s="7">
        <v>5244000</v>
      </c>
      <c r="M4" s="7">
        <v>1790000</v>
      </c>
    </row>
    <row r="5" spans="1:14" ht="12.45" customHeight="1">
      <c r="A5" s="12" t="s">
        <v>491</v>
      </c>
      <c r="B5" s="9">
        <v>406000</v>
      </c>
      <c r="C5" s="9">
        <v>214000</v>
      </c>
      <c r="D5" s="9">
        <v>192000</v>
      </c>
      <c r="E5" s="9">
        <v>71000</v>
      </c>
      <c r="F5" s="13" t="s">
        <v>220</v>
      </c>
      <c r="G5" s="9">
        <v>42000</v>
      </c>
      <c r="H5" s="9">
        <v>47000</v>
      </c>
      <c r="I5" s="13" t="s">
        <v>220</v>
      </c>
      <c r="J5" s="9">
        <v>225000</v>
      </c>
      <c r="K5" s="9">
        <v>12000</v>
      </c>
      <c r="L5" s="9">
        <v>336000</v>
      </c>
      <c r="M5" s="9">
        <v>70000</v>
      </c>
    </row>
    <row r="6" spans="1:14" ht="12.45" customHeight="1">
      <c r="A6" s="12" t="s">
        <v>492</v>
      </c>
      <c r="B6" s="9">
        <v>1323000</v>
      </c>
      <c r="C6" s="9">
        <v>838000</v>
      </c>
      <c r="D6" s="9">
        <v>485000</v>
      </c>
      <c r="E6" s="9">
        <v>120000</v>
      </c>
      <c r="F6" s="13" t="s">
        <v>191</v>
      </c>
      <c r="G6" s="9">
        <v>141000</v>
      </c>
      <c r="H6" s="9">
        <v>165000</v>
      </c>
      <c r="I6" s="13" t="s">
        <v>220</v>
      </c>
      <c r="J6" s="9">
        <v>796000</v>
      </c>
      <c r="K6" s="9">
        <v>89000</v>
      </c>
      <c r="L6" s="9">
        <v>1074000</v>
      </c>
      <c r="M6" s="9">
        <v>249000</v>
      </c>
    </row>
    <row r="7" spans="1:14" ht="12.45" customHeight="1">
      <c r="A7" s="49" t="s">
        <v>493</v>
      </c>
      <c r="B7" s="21">
        <v>598000</v>
      </c>
      <c r="C7" s="21">
        <v>350000</v>
      </c>
      <c r="D7" s="21">
        <v>248000</v>
      </c>
      <c r="E7" s="21">
        <v>78000</v>
      </c>
      <c r="F7" s="40" t="s">
        <v>220</v>
      </c>
      <c r="G7" s="21">
        <v>58000</v>
      </c>
      <c r="H7" s="21">
        <v>67000</v>
      </c>
      <c r="I7" s="40" t="s">
        <v>220</v>
      </c>
      <c r="J7" s="21">
        <v>370000</v>
      </c>
      <c r="K7" s="21">
        <v>19000</v>
      </c>
      <c r="L7" s="21">
        <v>474000</v>
      </c>
      <c r="M7" s="21">
        <v>123000</v>
      </c>
    </row>
    <row r="8" spans="1:14" ht="11.25" customHeight="1">
      <c r="A8" s="344" t="s">
        <v>224</v>
      </c>
      <c r="B8" s="344"/>
      <c r="C8" s="344"/>
      <c r="D8" s="344"/>
      <c r="E8" s="344"/>
      <c r="F8" s="344"/>
      <c r="G8" s="344"/>
      <c r="H8" s="344"/>
      <c r="I8" s="344"/>
      <c r="J8" s="344"/>
      <c r="K8" s="344"/>
      <c r="L8" s="344"/>
      <c r="M8" s="344"/>
      <c r="N8" s="344"/>
    </row>
    <row r="9" spans="1:14" ht="91.5" customHeight="1">
      <c r="A9" s="321" t="s">
        <v>494</v>
      </c>
      <c r="B9" s="321"/>
      <c r="C9" s="321"/>
      <c r="D9" s="321"/>
      <c r="E9" s="321"/>
      <c r="F9" s="321"/>
      <c r="G9" s="321"/>
      <c r="H9" s="321"/>
      <c r="I9" s="321"/>
      <c r="J9" s="321"/>
      <c r="K9" s="321"/>
      <c r="L9" s="321"/>
      <c r="M9" s="321"/>
      <c r="N9" s="321"/>
    </row>
    <row r="10" spans="1:14" ht="1.95" customHeight="1"/>
  </sheetData>
  <mergeCells count="11">
    <mergeCell ref="A8:N8"/>
    <mergeCell ref="A9:N9"/>
    <mergeCell ref="A1:N1"/>
    <mergeCell ref="A2:A3"/>
    <mergeCell ref="B2:B3"/>
    <mergeCell ref="C2:C3"/>
    <mergeCell ref="D2:D3"/>
    <mergeCell ref="E2:E3"/>
    <mergeCell ref="F2:K2"/>
    <mergeCell ref="L2:L3"/>
    <mergeCell ref="M2:M3"/>
  </mergeCell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D215"/>
  <sheetViews>
    <sheetView workbookViewId="0">
      <pane ySplit="4" topLeftCell="A14" activePane="bottomLeft" state="frozen"/>
      <selection pane="bottomLeft" activeCell="P5" sqref="P5"/>
    </sheetView>
  </sheetViews>
  <sheetFormatPr defaultRowHeight="13.2"/>
  <cols>
    <col min="1" max="1" width="58.109375" customWidth="1"/>
    <col min="2" max="2" width="14.109375" customWidth="1"/>
    <col min="3" max="3" width="66.109375" customWidth="1"/>
    <col min="4" max="4" width="39.109375" customWidth="1"/>
    <col min="5" max="5" width="57.109375" customWidth="1"/>
    <col min="6" max="6" width="52.77734375" customWidth="1"/>
    <col min="7" max="7" width="48.44140625" customWidth="1"/>
    <col min="8" max="8" width="16" customWidth="1"/>
    <col min="9" max="9" width="21.109375" customWidth="1"/>
    <col min="10" max="10" width="18.6640625" customWidth="1"/>
    <col min="11" max="11" width="14.6640625" customWidth="1"/>
    <col min="12" max="12" width="14.44140625" customWidth="1"/>
    <col min="13" max="13" width="14.109375" customWidth="1"/>
    <col min="14" max="14" width="25.44140625" customWidth="1"/>
    <col min="15" max="15" width="42.109375" bestFit="1" customWidth="1"/>
    <col min="16" max="16" width="27.33203125" bestFit="1" customWidth="1"/>
    <col min="29" max="29" width="24" customWidth="1"/>
    <col min="30" max="30" width="14.77734375" customWidth="1"/>
  </cols>
  <sheetData>
    <row r="1" spans="1:30" ht="39" customHeight="1">
      <c r="A1" s="321" t="s">
        <v>495</v>
      </c>
      <c r="B1" s="321"/>
      <c r="C1" s="321"/>
      <c r="D1" s="321"/>
      <c r="E1" s="321"/>
      <c r="F1" s="321"/>
      <c r="G1" s="321"/>
      <c r="H1" s="321"/>
      <c r="I1" s="321"/>
      <c r="J1" s="321"/>
      <c r="K1" s="321"/>
      <c r="L1" s="321"/>
      <c r="M1" s="321"/>
      <c r="N1" s="321"/>
      <c r="O1" s="321"/>
    </row>
    <row r="2" spans="1:30" ht="1.95" customHeight="1"/>
    <row r="3" spans="1:30" ht="13.95" customHeight="1">
      <c r="A3" s="339" t="s">
        <v>286</v>
      </c>
      <c r="B3" s="345" t="s">
        <v>167</v>
      </c>
      <c r="C3" s="345" t="s">
        <v>496</v>
      </c>
      <c r="D3" s="330" t="s">
        <v>497</v>
      </c>
      <c r="E3" s="331"/>
      <c r="F3" s="331"/>
      <c r="G3" s="331"/>
      <c r="H3" s="331"/>
      <c r="I3" s="331"/>
      <c r="J3" s="331"/>
      <c r="K3" s="331"/>
      <c r="L3" s="331"/>
      <c r="M3" s="331"/>
      <c r="N3" s="332"/>
      <c r="O3" s="342" t="s">
        <v>498</v>
      </c>
      <c r="P3" s="319" t="s">
        <v>499</v>
      </c>
      <c r="Q3" s="410" t="s">
        <v>500</v>
      </c>
      <c r="R3" s="410" t="s">
        <v>501</v>
      </c>
      <c r="S3" s="410" t="s">
        <v>502</v>
      </c>
      <c r="T3" s="410" t="s">
        <v>503</v>
      </c>
      <c r="U3" s="410" t="s">
        <v>504</v>
      </c>
      <c r="V3" s="410" t="s">
        <v>505</v>
      </c>
      <c r="W3" s="410" t="s">
        <v>506</v>
      </c>
      <c r="X3" s="410" t="s">
        <v>507</v>
      </c>
      <c r="Y3" s="410" t="s">
        <v>508</v>
      </c>
      <c r="Z3" s="410" t="s">
        <v>509</v>
      </c>
      <c r="AA3" s="410" t="s">
        <v>510</v>
      </c>
      <c r="AC3" s="319" t="s">
        <v>511</v>
      </c>
    </row>
    <row r="4" spans="1:30" ht="13.95" customHeight="1">
      <c r="A4" s="340"/>
      <c r="B4" s="346"/>
      <c r="C4" s="346"/>
      <c r="D4" s="41" t="s">
        <v>512</v>
      </c>
      <c r="E4" s="44" t="s">
        <v>513</v>
      </c>
      <c r="F4" s="48" t="s">
        <v>514</v>
      </c>
      <c r="G4" s="48" t="s">
        <v>515</v>
      </c>
      <c r="H4" s="5" t="s">
        <v>516</v>
      </c>
      <c r="I4" s="5" t="s">
        <v>517</v>
      </c>
      <c r="J4" s="5" t="s">
        <v>518</v>
      </c>
      <c r="K4" s="5" t="s">
        <v>198</v>
      </c>
      <c r="L4" s="5" t="s">
        <v>519</v>
      </c>
      <c r="M4" s="41" t="s">
        <v>520</v>
      </c>
      <c r="N4" s="41" t="s">
        <v>521</v>
      </c>
      <c r="O4" s="337"/>
      <c r="P4" s="320"/>
      <c r="Q4" s="411"/>
      <c r="R4" s="411"/>
      <c r="S4" s="411"/>
      <c r="T4" s="411"/>
      <c r="U4" s="411"/>
      <c r="V4" s="411"/>
      <c r="W4" s="411"/>
      <c r="X4" s="411"/>
      <c r="Y4" s="411"/>
      <c r="Z4" s="411"/>
      <c r="AA4" s="411"/>
      <c r="AB4" s="241"/>
      <c r="AC4" s="320"/>
    </row>
    <row r="5" spans="1:30" ht="12.45" customHeight="1">
      <c r="A5" s="128" t="s">
        <v>403</v>
      </c>
      <c r="B5" s="127">
        <v>51764000</v>
      </c>
      <c r="C5" s="126">
        <v>19988000</v>
      </c>
      <c r="D5" s="126">
        <v>270000</v>
      </c>
      <c r="E5" s="126">
        <v>322000</v>
      </c>
      <c r="F5" s="126">
        <v>144000</v>
      </c>
      <c r="G5" s="126">
        <v>33000</v>
      </c>
      <c r="H5" s="126">
        <v>99000</v>
      </c>
      <c r="I5" s="126">
        <v>76000</v>
      </c>
      <c r="J5" s="126">
        <v>273000</v>
      </c>
      <c r="K5" s="126">
        <v>587000</v>
      </c>
      <c r="L5" s="126">
        <v>5736000</v>
      </c>
      <c r="M5" s="126">
        <v>11713000</v>
      </c>
      <c r="N5" s="126">
        <v>737000</v>
      </c>
      <c r="O5" s="204">
        <f t="shared" ref="O5:O35" si="0">(C5/$B5)*(-1)</f>
        <v>-0.38613708368750482</v>
      </c>
      <c r="P5" s="204">
        <f t="shared" ref="P5:P35" si="1">1+O5</f>
        <v>0.61386291631249512</v>
      </c>
      <c r="Q5" s="204">
        <f>D5/$B5</f>
        <v>5.2159802179120628E-3</v>
      </c>
      <c r="R5" s="204">
        <f t="shared" ref="R5:AA5" si="2">E5/$B5</f>
        <v>6.2205393709914222E-3</v>
      </c>
      <c r="S5" s="204">
        <f t="shared" si="2"/>
        <v>2.7818561162197665E-3</v>
      </c>
      <c r="T5" s="204">
        <f t="shared" si="2"/>
        <v>6.3750869330036315E-4</v>
      </c>
      <c r="U5" s="204">
        <f t="shared" si="2"/>
        <v>1.9125260799010895E-3</v>
      </c>
      <c r="V5" s="204">
        <f t="shared" si="2"/>
        <v>1.468201839115988E-3</v>
      </c>
      <c r="W5" s="204">
        <f t="shared" si="2"/>
        <v>5.2739355536666407E-3</v>
      </c>
      <c r="X5" s="204">
        <f t="shared" si="2"/>
        <v>1.1339927362645854E-2</v>
      </c>
      <c r="Y5" s="204">
        <f t="shared" si="2"/>
        <v>0.11081060196275404</v>
      </c>
      <c r="Z5" s="204">
        <f t="shared" si="2"/>
        <v>0.22627694923112587</v>
      </c>
      <c r="AA5" s="204">
        <f t="shared" si="2"/>
        <v>1.4237694150374777E-2</v>
      </c>
      <c r="AC5" s="242" t="s">
        <v>389</v>
      </c>
    </row>
    <row r="6" spans="1:30" ht="12.45" customHeight="1">
      <c r="A6" s="129" t="s">
        <v>174</v>
      </c>
      <c r="B6" s="105">
        <v>7894000</v>
      </c>
      <c r="C6" s="9">
        <v>1649000</v>
      </c>
      <c r="D6" s="9">
        <v>159000</v>
      </c>
      <c r="E6" s="9">
        <v>208000</v>
      </c>
      <c r="F6" s="9">
        <v>83000</v>
      </c>
      <c r="G6" s="9">
        <v>2000</v>
      </c>
      <c r="H6" s="9">
        <v>32000</v>
      </c>
      <c r="I6" s="9">
        <v>36000</v>
      </c>
      <c r="J6" s="9">
        <v>129000</v>
      </c>
      <c r="K6" s="9">
        <v>373000</v>
      </c>
      <c r="L6" s="9">
        <v>114000</v>
      </c>
      <c r="M6" s="9">
        <v>422000</v>
      </c>
      <c r="N6" s="9">
        <v>92000</v>
      </c>
      <c r="O6" s="204">
        <f t="shared" si="0"/>
        <v>-0.20889282999746642</v>
      </c>
      <c r="P6" s="204">
        <f t="shared" si="1"/>
        <v>0.79110717000253361</v>
      </c>
      <c r="Q6" s="204">
        <f t="shared" ref="Q6:Q35" si="3">D6/$B6</f>
        <v>2.0141879908791488E-2</v>
      </c>
      <c r="R6" s="204">
        <f t="shared" ref="R6:R35" si="4">E6/$B6</f>
        <v>2.6349125918419054E-2</v>
      </c>
      <c r="S6" s="204">
        <f t="shared" ref="S6:S35" si="5">F6/$B6</f>
        <v>1.051431466936914E-2</v>
      </c>
      <c r="T6" s="204">
        <f t="shared" ref="T6:T35" si="6">G6/$B6</f>
        <v>2.533569799847986E-4</v>
      </c>
      <c r="U6" s="204">
        <f t="shared" ref="U6:U35" si="7">H6/$B6</f>
        <v>4.0537116797567775E-3</v>
      </c>
      <c r="V6" s="204">
        <f t="shared" ref="V6:V35" si="8">I6/$B6</f>
        <v>4.5604256397263742E-3</v>
      </c>
      <c r="W6" s="204">
        <f t="shared" ref="W6:W35" si="9">J6/$B6</f>
        <v>1.6341525209019509E-2</v>
      </c>
      <c r="X6" s="204">
        <f t="shared" ref="X6:X35" si="10">K6/$B6</f>
        <v>4.7251076767164939E-2</v>
      </c>
      <c r="Y6" s="204">
        <f t="shared" ref="Y6:Y35" si="11">L6/$B6</f>
        <v>1.444134785913352E-2</v>
      </c>
      <c r="Z6" s="204">
        <f t="shared" ref="Z6:Z35" si="12">M6/$B6</f>
        <v>5.3458322776792501E-2</v>
      </c>
      <c r="AA6" s="204">
        <f t="shared" ref="AA6:AA35" si="13">N6/$B6</f>
        <v>1.1654421079300734E-2</v>
      </c>
    </row>
    <row r="7" spans="1:30" ht="12.45" customHeight="1">
      <c r="A7" s="130" t="s">
        <v>227</v>
      </c>
      <c r="B7" s="105">
        <v>794000</v>
      </c>
      <c r="C7" s="9">
        <v>120000</v>
      </c>
      <c r="D7" s="13" t="s">
        <v>191</v>
      </c>
      <c r="E7" s="13" t="s">
        <v>220</v>
      </c>
      <c r="F7" s="13" t="s">
        <v>220</v>
      </c>
      <c r="G7" s="13" t="s">
        <v>220</v>
      </c>
      <c r="H7" s="9">
        <v>25000</v>
      </c>
      <c r="I7" s="9">
        <v>4000</v>
      </c>
      <c r="J7" s="13" t="s">
        <v>220</v>
      </c>
      <c r="K7" s="13" t="s">
        <v>222</v>
      </c>
      <c r="L7" s="9">
        <v>47000</v>
      </c>
      <c r="M7" s="9">
        <v>37000</v>
      </c>
      <c r="N7" s="9">
        <v>5000</v>
      </c>
      <c r="O7" s="204">
        <f t="shared" si="0"/>
        <v>-0.15113350125944586</v>
      </c>
      <c r="P7" s="204">
        <f t="shared" si="1"/>
        <v>0.84886649874055409</v>
      </c>
      <c r="Q7" s="204" t="e">
        <f t="shared" si="3"/>
        <v>#VALUE!</v>
      </c>
      <c r="R7" s="204" t="e">
        <f t="shared" si="4"/>
        <v>#VALUE!</v>
      </c>
      <c r="S7" s="204" t="e">
        <f t="shared" si="5"/>
        <v>#VALUE!</v>
      </c>
      <c r="T7" s="204" t="e">
        <f t="shared" si="6"/>
        <v>#VALUE!</v>
      </c>
      <c r="U7" s="204">
        <f t="shared" si="7"/>
        <v>3.1486146095717885E-2</v>
      </c>
      <c r="V7" s="204">
        <f t="shared" si="8"/>
        <v>5.0377833753148613E-3</v>
      </c>
      <c r="W7" s="204" t="e">
        <f t="shared" si="9"/>
        <v>#VALUE!</v>
      </c>
      <c r="X7" s="204" t="e">
        <f t="shared" si="10"/>
        <v>#VALUE!</v>
      </c>
      <c r="Y7" s="204">
        <f t="shared" si="11"/>
        <v>5.9193954659949623E-2</v>
      </c>
      <c r="Z7" s="204">
        <f t="shared" si="12"/>
        <v>4.659949622166247E-2</v>
      </c>
      <c r="AA7" s="204">
        <f t="shared" si="13"/>
        <v>6.2972292191435771E-3</v>
      </c>
      <c r="AC7" s="371" t="s">
        <v>286</v>
      </c>
    </row>
    <row r="8" spans="1:30" ht="12.45" customHeight="1">
      <c r="A8" s="130" t="s">
        <v>228</v>
      </c>
      <c r="B8" s="105">
        <v>4031000</v>
      </c>
      <c r="C8" s="9">
        <v>702000</v>
      </c>
      <c r="D8" s="9">
        <v>153000</v>
      </c>
      <c r="E8" s="9">
        <v>198000</v>
      </c>
      <c r="F8" s="9">
        <v>78000</v>
      </c>
      <c r="G8" s="9">
        <v>1000</v>
      </c>
      <c r="H8" s="13" t="s">
        <v>220</v>
      </c>
      <c r="I8" s="9">
        <v>1000</v>
      </c>
      <c r="J8" s="13" t="s">
        <v>220</v>
      </c>
      <c r="K8" s="9">
        <v>6000</v>
      </c>
      <c r="L8" s="9">
        <v>26000</v>
      </c>
      <c r="M8" s="9">
        <v>178000</v>
      </c>
      <c r="N8" s="9">
        <v>60000</v>
      </c>
      <c r="O8" s="204">
        <f t="shared" si="0"/>
        <v>-0.17415033490449019</v>
      </c>
      <c r="P8" s="204">
        <f t="shared" si="1"/>
        <v>0.82584966509550983</v>
      </c>
      <c r="Q8" s="204">
        <f t="shared" si="3"/>
        <v>3.7955842222773505E-2</v>
      </c>
      <c r="R8" s="204">
        <f t="shared" si="4"/>
        <v>4.9119325229471593E-2</v>
      </c>
      <c r="S8" s="204">
        <f t="shared" si="5"/>
        <v>1.9350037211610022E-2</v>
      </c>
      <c r="T8" s="204">
        <f t="shared" si="6"/>
        <v>2.4807740014884643E-4</v>
      </c>
      <c r="U8" s="204" t="e">
        <f t="shared" si="7"/>
        <v>#VALUE!</v>
      </c>
      <c r="V8" s="204">
        <f t="shared" si="8"/>
        <v>2.4807740014884643E-4</v>
      </c>
      <c r="W8" s="204" t="e">
        <f t="shared" si="9"/>
        <v>#VALUE!</v>
      </c>
      <c r="X8" s="204">
        <f t="shared" si="10"/>
        <v>1.4884644008930786E-3</v>
      </c>
      <c r="Y8" s="204">
        <f t="shared" si="11"/>
        <v>6.4500124038700075E-3</v>
      </c>
      <c r="Z8" s="204">
        <f t="shared" si="12"/>
        <v>4.4157777226494666E-2</v>
      </c>
      <c r="AA8" s="204">
        <f t="shared" si="13"/>
        <v>1.4884644008930786E-2</v>
      </c>
      <c r="AC8" s="372"/>
    </row>
    <row r="9" spans="1:30" ht="12.45" customHeight="1">
      <c r="A9" s="130" t="s">
        <v>229</v>
      </c>
      <c r="B9" s="105">
        <v>408000</v>
      </c>
      <c r="C9" s="9">
        <v>67000</v>
      </c>
      <c r="D9" s="13" t="s">
        <v>220</v>
      </c>
      <c r="E9" s="13" t="s">
        <v>220</v>
      </c>
      <c r="F9" s="13" t="s">
        <v>220</v>
      </c>
      <c r="G9" s="13" t="s">
        <v>220</v>
      </c>
      <c r="H9" s="9">
        <v>4000</v>
      </c>
      <c r="I9" s="9">
        <v>26000</v>
      </c>
      <c r="J9" s="13" t="s">
        <v>220</v>
      </c>
      <c r="K9" s="9">
        <v>4000</v>
      </c>
      <c r="L9" s="9">
        <v>12000</v>
      </c>
      <c r="M9" s="9">
        <v>18000</v>
      </c>
      <c r="N9" s="9">
        <v>3000</v>
      </c>
      <c r="O9" s="204">
        <f t="shared" si="0"/>
        <v>-0.1642156862745098</v>
      </c>
      <c r="P9" s="204">
        <f t="shared" si="1"/>
        <v>0.83578431372549022</v>
      </c>
      <c r="Q9" s="204" t="e">
        <f t="shared" si="3"/>
        <v>#VALUE!</v>
      </c>
      <c r="R9" s="204" t="e">
        <f t="shared" si="4"/>
        <v>#VALUE!</v>
      </c>
      <c r="S9" s="204" t="e">
        <f t="shared" si="5"/>
        <v>#VALUE!</v>
      </c>
      <c r="T9" s="204" t="e">
        <f t="shared" si="6"/>
        <v>#VALUE!</v>
      </c>
      <c r="U9" s="204">
        <f t="shared" si="7"/>
        <v>9.8039215686274508E-3</v>
      </c>
      <c r="V9" s="204">
        <f t="shared" si="8"/>
        <v>6.3725490196078427E-2</v>
      </c>
      <c r="W9" s="204" t="e">
        <f t="shared" si="9"/>
        <v>#VALUE!</v>
      </c>
      <c r="X9" s="204">
        <f t="shared" si="10"/>
        <v>9.8039215686274508E-3</v>
      </c>
      <c r="Y9" s="204">
        <f t="shared" si="11"/>
        <v>2.9411764705882353E-2</v>
      </c>
      <c r="Z9" s="204">
        <f t="shared" si="12"/>
        <v>4.4117647058823532E-2</v>
      </c>
      <c r="AA9" s="204">
        <f t="shared" si="13"/>
        <v>7.3529411764705881E-3</v>
      </c>
      <c r="AC9" s="128" t="s">
        <v>403</v>
      </c>
    </row>
    <row r="10" spans="1:30" ht="12.45" customHeight="1">
      <c r="A10" s="130" t="s">
        <v>230</v>
      </c>
      <c r="B10" s="105">
        <v>712000</v>
      </c>
      <c r="C10" s="9">
        <v>256000</v>
      </c>
      <c r="D10" s="13" t="s">
        <v>220</v>
      </c>
      <c r="E10" s="13" t="s">
        <v>220</v>
      </c>
      <c r="F10" s="13" t="s">
        <v>220</v>
      </c>
      <c r="G10" s="13" t="s">
        <v>220</v>
      </c>
      <c r="H10" s="13" t="s">
        <v>220</v>
      </c>
      <c r="I10" s="13" t="s">
        <v>191</v>
      </c>
      <c r="J10" s="9">
        <v>128000</v>
      </c>
      <c r="K10" s="13" t="s">
        <v>220</v>
      </c>
      <c r="L10" s="9">
        <v>11000</v>
      </c>
      <c r="M10" s="9">
        <v>106000</v>
      </c>
      <c r="N10" s="9">
        <v>9000</v>
      </c>
      <c r="O10" s="204">
        <f t="shared" si="0"/>
        <v>-0.3595505617977528</v>
      </c>
      <c r="P10" s="204">
        <f t="shared" si="1"/>
        <v>0.6404494382022472</v>
      </c>
      <c r="Q10" s="204" t="e">
        <f t="shared" si="3"/>
        <v>#VALUE!</v>
      </c>
      <c r="R10" s="204" t="e">
        <f t="shared" si="4"/>
        <v>#VALUE!</v>
      </c>
      <c r="S10" s="204" t="e">
        <f t="shared" si="5"/>
        <v>#VALUE!</v>
      </c>
      <c r="T10" s="204" t="e">
        <f t="shared" si="6"/>
        <v>#VALUE!</v>
      </c>
      <c r="U10" s="204" t="e">
        <f t="shared" si="7"/>
        <v>#VALUE!</v>
      </c>
      <c r="V10" s="204" t="e">
        <f t="shared" si="8"/>
        <v>#VALUE!</v>
      </c>
      <c r="W10" s="204">
        <f t="shared" si="9"/>
        <v>0.1797752808988764</v>
      </c>
      <c r="X10" s="204" t="e">
        <f t="shared" si="10"/>
        <v>#VALUE!</v>
      </c>
      <c r="Y10" s="204">
        <f t="shared" si="11"/>
        <v>1.5449438202247191E-2</v>
      </c>
      <c r="Z10" s="204">
        <f t="shared" si="12"/>
        <v>0.14887640449438203</v>
      </c>
      <c r="AA10" s="204">
        <f t="shared" si="13"/>
        <v>1.2640449438202247E-2</v>
      </c>
      <c r="AC10" s="129" t="s">
        <v>404</v>
      </c>
    </row>
    <row r="11" spans="1:30" ht="12.45" customHeight="1">
      <c r="A11" s="130" t="s">
        <v>231</v>
      </c>
      <c r="B11" s="105">
        <v>1949000</v>
      </c>
      <c r="C11" s="9">
        <v>505000</v>
      </c>
      <c r="D11" s="9">
        <v>6000</v>
      </c>
      <c r="E11" s="9">
        <v>9000</v>
      </c>
      <c r="F11" s="9">
        <v>4000</v>
      </c>
      <c r="G11" s="13" t="s">
        <v>220</v>
      </c>
      <c r="H11" s="13" t="s">
        <v>191</v>
      </c>
      <c r="I11" s="9">
        <v>4000</v>
      </c>
      <c r="J11" s="13" t="s">
        <v>191</v>
      </c>
      <c r="K11" s="9">
        <v>362000</v>
      </c>
      <c r="L11" s="9">
        <v>18000</v>
      </c>
      <c r="M11" s="9">
        <v>84000</v>
      </c>
      <c r="N11" s="9">
        <v>15000</v>
      </c>
      <c r="O11" s="204">
        <f t="shared" si="0"/>
        <v>-0.25910723447922013</v>
      </c>
      <c r="P11" s="204">
        <f t="shared" si="1"/>
        <v>0.74089276552077987</v>
      </c>
      <c r="Q11" s="204">
        <f t="shared" si="3"/>
        <v>3.0785017957927143E-3</v>
      </c>
      <c r="R11" s="204">
        <f t="shared" si="4"/>
        <v>4.6177526936890716E-3</v>
      </c>
      <c r="S11" s="204">
        <f t="shared" si="5"/>
        <v>2.052334530528476E-3</v>
      </c>
      <c r="T11" s="204" t="e">
        <f t="shared" si="6"/>
        <v>#VALUE!</v>
      </c>
      <c r="U11" s="204" t="e">
        <f t="shared" si="7"/>
        <v>#VALUE!</v>
      </c>
      <c r="V11" s="204">
        <f t="shared" si="8"/>
        <v>2.052334530528476E-3</v>
      </c>
      <c r="W11" s="204" t="e">
        <f t="shared" si="9"/>
        <v>#VALUE!</v>
      </c>
      <c r="X11" s="204">
        <f t="shared" si="10"/>
        <v>0.18573627501282708</v>
      </c>
      <c r="Y11" s="204">
        <f t="shared" si="11"/>
        <v>9.2355053873781432E-3</v>
      </c>
      <c r="Z11" s="204">
        <f t="shared" si="12"/>
        <v>4.3099025141098E-2</v>
      </c>
      <c r="AA11" s="204">
        <f t="shared" si="13"/>
        <v>7.6962544894817854E-3</v>
      </c>
      <c r="AC11" s="130" t="s">
        <v>405</v>
      </c>
    </row>
    <row r="12" spans="1:30" ht="12.45" customHeight="1">
      <c r="A12" s="129" t="s">
        <v>175</v>
      </c>
      <c r="B12" s="105">
        <v>9522000</v>
      </c>
      <c r="C12" s="9">
        <v>6611000</v>
      </c>
      <c r="D12" s="9">
        <v>26000</v>
      </c>
      <c r="E12" s="9">
        <v>47000</v>
      </c>
      <c r="F12" s="9">
        <v>20000</v>
      </c>
      <c r="G12" s="9">
        <v>21000</v>
      </c>
      <c r="H12" s="9">
        <v>25000</v>
      </c>
      <c r="I12" s="9">
        <v>18000</v>
      </c>
      <c r="J12" s="9">
        <v>39000</v>
      </c>
      <c r="K12" s="9">
        <v>98000</v>
      </c>
      <c r="L12" s="9">
        <v>4939000</v>
      </c>
      <c r="M12" s="9">
        <v>1195000</v>
      </c>
      <c r="N12" s="9">
        <v>183000</v>
      </c>
      <c r="O12" s="204">
        <f t="shared" si="0"/>
        <v>-0.69428691451375757</v>
      </c>
      <c r="P12" s="204">
        <f t="shared" si="1"/>
        <v>0.30571308548624243</v>
      </c>
      <c r="Q12" s="204">
        <f t="shared" si="3"/>
        <v>2.7305187985717286E-3</v>
      </c>
      <c r="R12" s="204">
        <f t="shared" si="4"/>
        <v>4.935937828187356E-3</v>
      </c>
      <c r="S12" s="204">
        <f t="shared" si="5"/>
        <v>2.1003990758244068E-3</v>
      </c>
      <c r="T12" s="204">
        <f t="shared" si="6"/>
        <v>2.2054190296156269E-3</v>
      </c>
      <c r="U12" s="204">
        <f t="shared" si="7"/>
        <v>2.6254988447805081E-3</v>
      </c>
      <c r="V12" s="204">
        <f t="shared" si="8"/>
        <v>1.890359168241966E-3</v>
      </c>
      <c r="W12" s="204">
        <f t="shared" si="9"/>
        <v>4.0957781978575927E-3</v>
      </c>
      <c r="X12" s="204">
        <f t="shared" si="10"/>
        <v>1.0291955471539592E-2</v>
      </c>
      <c r="Y12" s="204">
        <f t="shared" si="11"/>
        <v>0.51869355177483722</v>
      </c>
      <c r="Z12" s="204">
        <f t="shared" si="12"/>
        <v>0.1254988447805083</v>
      </c>
      <c r="AA12" s="204">
        <f t="shared" si="13"/>
        <v>1.9218651543793319E-2</v>
      </c>
      <c r="AC12" s="183" t="s">
        <v>343</v>
      </c>
      <c r="AD12" t="s">
        <v>522</v>
      </c>
    </row>
    <row r="13" spans="1:30" ht="12.45" customHeight="1">
      <c r="A13" s="129" t="s">
        <v>176</v>
      </c>
      <c r="B13" s="105">
        <v>34349000</v>
      </c>
      <c r="C13" s="9">
        <v>11728000</v>
      </c>
      <c r="D13" s="9">
        <v>85000</v>
      </c>
      <c r="E13" s="9">
        <v>66000</v>
      </c>
      <c r="F13" s="9">
        <v>41000</v>
      </c>
      <c r="G13" s="9">
        <v>10000</v>
      </c>
      <c r="H13" s="9">
        <v>42000</v>
      </c>
      <c r="I13" s="9">
        <v>22000</v>
      </c>
      <c r="J13" s="9">
        <v>105000</v>
      </c>
      <c r="K13" s="9">
        <v>116000</v>
      </c>
      <c r="L13" s="9">
        <v>683000</v>
      </c>
      <c r="M13" s="9">
        <v>10096000</v>
      </c>
      <c r="N13" s="9">
        <v>461000</v>
      </c>
      <c r="O13" s="204">
        <f t="shared" si="0"/>
        <v>-0.34143643191941542</v>
      </c>
      <c r="P13" s="204">
        <f t="shared" si="1"/>
        <v>0.65856356808058458</v>
      </c>
      <c r="Q13" s="204">
        <f t="shared" si="3"/>
        <v>2.4745989694023116E-3</v>
      </c>
      <c r="R13" s="204">
        <f t="shared" si="4"/>
        <v>1.9214533174182655E-3</v>
      </c>
      <c r="S13" s="204">
        <f t="shared" si="5"/>
        <v>1.1936300911234679E-3</v>
      </c>
      <c r="T13" s="204">
        <f t="shared" si="6"/>
        <v>2.9112929051791902E-4</v>
      </c>
      <c r="U13" s="204">
        <f t="shared" si="7"/>
        <v>1.2227430201752598E-3</v>
      </c>
      <c r="V13" s="204">
        <f t="shared" si="8"/>
        <v>6.4048443913942185E-4</v>
      </c>
      <c r="W13" s="204">
        <f t="shared" si="9"/>
        <v>3.0568575504381496E-3</v>
      </c>
      <c r="X13" s="204">
        <f t="shared" si="10"/>
        <v>3.3770997700078606E-3</v>
      </c>
      <c r="Y13" s="204">
        <f t="shared" si="11"/>
        <v>1.9884130542373868E-2</v>
      </c>
      <c r="Z13" s="204">
        <f t="shared" si="12"/>
        <v>0.29392413170689102</v>
      </c>
      <c r="AA13" s="204">
        <f t="shared" si="13"/>
        <v>1.3421060292876066E-2</v>
      </c>
      <c r="AC13" s="131" t="s">
        <v>344</v>
      </c>
      <c r="AD13" t="s">
        <v>523</v>
      </c>
    </row>
    <row r="14" spans="1:30" ht="12.45" customHeight="1">
      <c r="A14" s="125" t="s">
        <v>218</v>
      </c>
      <c r="B14" s="124">
        <v>31688000</v>
      </c>
      <c r="C14" s="119">
        <v>10154000</v>
      </c>
      <c r="D14" s="119">
        <v>189000</v>
      </c>
      <c r="E14" s="119">
        <v>213000</v>
      </c>
      <c r="F14" s="119">
        <v>100000</v>
      </c>
      <c r="G14" s="119">
        <v>29000</v>
      </c>
      <c r="H14" s="119">
        <v>65000</v>
      </c>
      <c r="I14" s="119">
        <v>46000</v>
      </c>
      <c r="J14" s="119">
        <v>34000</v>
      </c>
      <c r="K14" s="119">
        <v>375000</v>
      </c>
      <c r="L14" s="119">
        <v>2845000</v>
      </c>
      <c r="M14" s="119">
        <v>5814000</v>
      </c>
      <c r="N14" s="119">
        <v>445000</v>
      </c>
      <c r="O14" s="204">
        <f t="shared" si="0"/>
        <v>-0.32043675839434488</v>
      </c>
      <c r="P14" s="204">
        <f t="shared" si="1"/>
        <v>0.67956324160565518</v>
      </c>
      <c r="Q14" s="204">
        <f t="shared" si="3"/>
        <v>5.9644029285533954E-3</v>
      </c>
      <c r="R14" s="204">
        <f t="shared" si="4"/>
        <v>6.7217874274173185E-3</v>
      </c>
      <c r="S14" s="204">
        <f t="shared" si="5"/>
        <v>3.1557687452663467E-3</v>
      </c>
      <c r="T14" s="204">
        <f t="shared" si="6"/>
        <v>9.1517293612724062E-4</v>
      </c>
      <c r="U14" s="204">
        <f t="shared" si="7"/>
        <v>2.0512496844231256E-3</v>
      </c>
      <c r="V14" s="204">
        <f t="shared" si="8"/>
        <v>1.4516536228225195E-3</v>
      </c>
      <c r="W14" s="204">
        <f t="shared" si="9"/>
        <v>1.0729613733905579E-3</v>
      </c>
      <c r="X14" s="204">
        <f t="shared" si="10"/>
        <v>1.18341327947488E-2</v>
      </c>
      <c r="Y14" s="204">
        <f t="shared" si="11"/>
        <v>8.9781620802827575E-2</v>
      </c>
      <c r="Z14" s="204">
        <f t="shared" si="12"/>
        <v>0.1834763948497854</v>
      </c>
      <c r="AA14" s="204">
        <f t="shared" si="13"/>
        <v>1.4043170916435244E-2</v>
      </c>
      <c r="AC14" s="131" t="s">
        <v>345</v>
      </c>
      <c r="AD14" t="s">
        <v>524</v>
      </c>
    </row>
    <row r="15" spans="1:30" ht="12.45" customHeight="1">
      <c r="A15" s="120" t="s">
        <v>174</v>
      </c>
      <c r="B15" s="105">
        <v>4438000</v>
      </c>
      <c r="C15" s="9">
        <v>897000</v>
      </c>
      <c r="D15" s="9">
        <v>106000</v>
      </c>
      <c r="E15" s="9">
        <v>147000</v>
      </c>
      <c r="F15" s="9">
        <v>63000</v>
      </c>
      <c r="G15" s="13" t="s">
        <v>220</v>
      </c>
      <c r="H15" s="9">
        <v>17000</v>
      </c>
      <c r="I15" s="9">
        <v>17000</v>
      </c>
      <c r="J15" s="9">
        <v>7000</v>
      </c>
      <c r="K15" s="9">
        <v>240000</v>
      </c>
      <c r="L15" s="9">
        <v>60000</v>
      </c>
      <c r="M15" s="9">
        <v>191000</v>
      </c>
      <c r="N15" s="9">
        <v>49000</v>
      </c>
      <c r="O15" s="204">
        <f t="shared" si="0"/>
        <v>-0.20211807120324471</v>
      </c>
      <c r="P15" s="204">
        <f t="shared" si="1"/>
        <v>0.79788192879675535</v>
      </c>
      <c r="Q15" s="204">
        <f t="shared" si="3"/>
        <v>2.3884632717440287E-2</v>
      </c>
      <c r="R15" s="204">
        <f t="shared" si="4"/>
        <v>3.3123028391167195E-2</v>
      </c>
      <c r="S15" s="204">
        <f t="shared" si="5"/>
        <v>1.4195583596214511E-2</v>
      </c>
      <c r="T15" s="204" t="e">
        <f t="shared" si="6"/>
        <v>#VALUE!</v>
      </c>
      <c r="U15" s="204">
        <f t="shared" si="7"/>
        <v>3.8305543037404238E-3</v>
      </c>
      <c r="V15" s="204">
        <f t="shared" si="8"/>
        <v>3.8305543037404238E-3</v>
      </c>
      <c r="W15" s="204">
        <f t="shared" si="9"/>
        <v>1.5772870662460567E-3</v>
      </c>
      <c r="X15" s="204">
        <f t="shared" si="10"/>
        <v>5.4078413699864804E-2</v>
      </c>
      <c r="Y15" s="204">
        <f t="shared" si="11"/>
        <v>1.3519603424966201E-2</v>
      </c>
      <c r="Z15" s="204">
        <f t="shared" si="12"/>
        <v>4.3037404236142406E-2</v>
      </c>
      <c r="AA15" s="204">
        <f t="shared" si="13"/>
        <v>1.1041009463722398E-2</v>
      </c>
      <c r="AC15" s="131" t="s">
        <v>346</v>
      </c>
      <c r="AD15" t="s">
        <v>525</v>
      </c>
    </row>
    <row r="16" spans="1:30" ht="12.45" customHeight="1">
      <c r="A16" s="157" t="s">
        <v>227</v>
      </c>
      <c r="B16" s="105">
        <v>295000</v>
      </c>
      <c r="C16" s="9">
        <v>60000</v>
      </c>
      <c r="D16" s="13" t="s">
        <v>220</v>
      </c>
      <c r="E16" s="13" t="s">
        <v>220</v>
      </c>
      <c r="F16" s="13" t="s">
        <v>220</v>
      </c>
      <c r="G16" s="13" t="s">
        <v>220</v>
      </c>
      <c r="H16" s="9">
        <v>13000</v>
      </c>
      <c r="I16" s="13" t="s">
        <v>191</v>
      </c>
      <c r="J16" s="13" t="s">
        <v>220</v>
      </c>
      <c r="K16" s="13" t="s">
        <v>222</v>
      </c>
      <c r="L16" s="9">
        <v>21000</v>
      </c>
      <c r="M16" s="9">
        <v>22000</v>
      </c>
      <c r="N16" s="13" t="s">
        <v>191</v>
      </c>
      <c r="O16" s="204">
        <f t="shared" si="0"/>
        <v>-0.20338983050847459</v>
      </c>
      <c r="P16" s="204">
        <f t="shared" si="1"/>
        <v>0.79661016949152541</v>
      </c>
      <c r="Q16" s="204" t="e">
        <f t="shared" si="3"/>
        <v>#VALUE!</v>
      </c>
      <c r="R16" s="204" t="e">
        <f t="shared" si="4"/>
        <v>#VALUE!</v>
      </c>
      <c r="S16" s="204" t="e">
        <f t="shared" si="5"/>
        <v>#VALUE!</v>
      </c>
      <c r="T16" s="204" t="e">
        <f t="shared" si="6"/>
        <v>#VALUE!</v>
      </c>
      <c r="U16" s="204">
        <f t="shared" si="7"/>
        <v>4.4067796610169491E-2</v>
      </c>
      <c r="V16" s="204" t="e">
        <f t="shared" si="8"/>
        <v>#VALUE!</v>
      </c>
      <c r="W16" s="204" t="e">
        <f t="shared" si="9"/>
        <v>#VALUE!</v>
      </c>
      <c r="X16" s="204" t="e">
        <f t="shared" si="10"/>
        <v>#VALUE!</v>
      </c>
      <c r="Y16" s="204">
        <f t="shared" si="11"/>
        <v>7.1186440677966104E-2</v>
      </c>
      <c r="Z16" s="204">
        <f t="shared" si="12"/>
        <v>7.4576271186440682E-2</v>
      </c>
      <c r="AA16" s="204" t="e">
        <f t="shared" si="13"/>
        <v>#VALUE!</v>
      </c>
      <c r="AC16" s="130" t="s">
        <v>228</v>
      </c>
    </row>
    <row r="17" spans="1:30" ht="12.45" customHeight="1">
      <c r="A17" s="121" t="s">
        <v>228</v>
      </c>
      <c r="B17" s="105">
        <v>2574000</v>
      </c>
      <c r="C17" s="9">
        <v>446000</v>
      </c>
      <c r="D17" s="9">
        <v>102000</v>
      </c>
      <c r="E17" s="9">
        <v>143000</v>
      </c>
      <c r="F17" s="9">
        <v>59000</v>
      </c>
      <c r="G17" s="13" t="s">
        <v>220</v>
      </c>
      <c r="H17" s="13" t="s">
        <v>220</v>
      </c>
      <c r="I17" s="13" t="s">
        <v>220</v>
      </c>
      <c r="J17" s="13" t="s">
        <v>220</v>
      </c>
      <c r="K17" s="9">
        <v>2000</v>
      </c>
      <c r="L17" s="9">
        <v>13000</v>
      </c>
      <c r="M17" s="9">
        <v>90000</v>
      </c>
      <c r="N17" s="9">
        <v>35000</v>
      </c>
      <c r="O17" s="204">
        <f t="shared" si="0"/>
        <v>-0.17327117327117328</v>
      </c>
      <c r="P17" s="204">
        <f t="shared" si="1"/>
        <v>0.82672882672882675</v>
      </c>
      <c r="Q17" s="204">
        <f t="shared" si="3"/>
        <v>3.9627039627039624E-2</v>
      </c>
      <c r="R17" s="204">
        <f t="shared" si="4"/>
        <v>5.5555555555555552E-2</v>
      </c>
      <c r="S17" s="204">
        <f t="shared" si="5"/>
        <v>2.292152292152292E-2</v>
      </c>
      <c r="T17" s="204" t="e">
        <f t="shared" si="6"/>
        <v>#VALUE!</v>
      </c>
      <c r="U17" s="204" t="e">
        <f t="shared" si="7"/>
        <v>#VALUE!</v>
      </c>
      <c r="V17" s="204" t="e">
        <f t="shared" si="8"/>
        <v>#VALUE!</v>
      </c>
      <c r="W17" s="204" t="e">
        <f t="shared" si="9"/>
        <v>#VALUE!</v>
      </c>
      <c r="X17" s="204">
        <f t="shared" si="10"/>
        <v>7.77000777000777E-4</v>
      </c>
      <c r="Y17" s="204">
        <f t="shared" si="11"/>
        <v>5.0505050505050509E-3</v>
      </c>
      <c r="Z17" s="204">
        <f t="shared" si="12"/>
        <v>3.4965034965034968E-2</v>
      </c>
      <c r="AA17" s="204">
        <f t="shared" si="13"/>
        <v>1.3597513597513598E-2</v>
      </c>
      <c r="AC17" s="131" t="s">
        <v>347</v>
      </c>
    </row>
    <row r="18" spans="1:30" ht="12.45" customHeight="1">
      <c r="A18" s="121" t="s">
        <v>229</v>
      </c>
      <c r="B18" s="105">
        <v>177000</v>
      </c>
      <c r="C18" s="9">
        <v>36000</v>
      </c>
      <c r="D18" s="13" t="s">
        <v>220</v>
      </c>
      <c r="E18" s="13" t="s">
        <v>220</v>
      </c>
      <c r="F18" s="13" t="s">
        <v>220</v>
      </c>
      <c r="G18" s="13" t="s">
        <v>220</v>
      </c>
      <c r="H18" s="9">
        <v>2000</v>
      </c>
      <c r="I18" s="9">
        <v>13000</v>
      </c>
      <c r="J18" s="13" t="s">
        <v>220</v>
      </c>
      <c r="K18" s="9">
        <v>1000</v>
      </c>
      <c r="L18" s="9">
        <v>10000</v>
      </c>
      <c r="M18" s="9">
        <v>10000</v>
      </c>
      <c r="N18" s="9">
        <v>1000</v>
      </c>
      <c r="O18" s="204">
        <f t="shared" si="0"/>
        <v>-0.20338983050847459</v>
      </c>
      <c r="P18" s="204">
        <f t="shared" si="1"/>
        <v>0.79661016949152541</v>
      </c>
      <c r="Q18" s="204" t="e">
        <f t="shared" si="3"/>
        <v>#VALUE!</v>
      </c>
      <c r="R18" s="204" t="e">
        <f t="shared" si="4"/>
        <v>#VALUE!</v>
      </c>
      <c r="S18" s="204" t="e">
        <f t="shared" si="5"/>
        <v>#VALUE!</v>
      </c>
      <c r="T18" s="204" t="e">
        <f t="shared" si="6"/>
        <v>#VALUE!</v>
      </c>
      <c r="U18" s="204">
        <f t="shared" si="7"/>
        <v>1.1299435028248588E-2</v>
      </c>
      <c r="V18" s="204">
        <f t="shared" si="8"/>
        <v>7.3446327683615822E-2</v>
      </c>
      <c r="W18" s="204" t="e">
        <f t="shared" si="9"/>
        <v>#VALUE!</v>
      </c>
      <c r="X18" s="204">
        <f t="shared" si="10"/>
        <v>5.6497175141242938E-3</v>
      </c>
      <c r="Y18" s="204">
        <f t="shared" si="11"/>
        <v>5.6497175141242938E-2</v>
      </c>
      <c r="Z18" s="204">
        <f t="shared" si="12"/>
        <v>5.6497175141242938E-2</v>
      </c>
      <c r="AA18" s="204">
        <f t="shared" si="13"/>
        <v>5.6497175141242938E-3</v>
      </c>
      <c r="AC18" s="131" t="s">
        <v>348</v>
      </c>
      <c r="AD18" t="s">
        <v>526</v>
      </c>
    </row>
    <row r="19" spans="1:30" ht="12.45" customHeight="1">
      <c r="A19" s="121" t="s">
        <v>230</v>
      </c>
      <c r="B19" s="105">
        <v>170000</v>
      </c>
      <c r="C19" s="9">
        <v>32000</v>
      </c>
      <c r="D19" s="13" t="s">
        <v>220</v>
      </c>
      <c r="E19" s="13" t="s">
        <v>220</v>
      </c>
      <c r="F19" s="13" t="s">
        <v>220</v>
      </c>
      <c r="G19" s="13" t="s">
        <v>220</v>
      </c>
      <c r="H19" s="13" t="s">
        <v>220</v>
      </c>
      <c r="I19" s="13" t="s">
        <v>220</v>
      </c>
      <c r="J19" s="9">
        <v>7000</v>
      </c>
      <c r="K19" s="13" t="s">
        <v>220</v>
      </c>
      <c r="L19" s="13" t="s">
        <v>220</v>
      </c>
      <c r="M19" s="9">
        <v>22000</v>
      </c>
      <c r="N19" s="13" t="s">
        <v>220</v>
      </c>
      <c r="O19" s="204">
        <f t="shared" si="0"/>
        <v>-0.18823529411764706</v>
      </c>
      <c r="P19" s="204">
        <f t="shared" si="1"/>
        <v>0.81176470588235294</v>
      </c>
      <c r="Q19" s="204" t="e">
        <f t="shared" si="3"/>
        <v>#VALUE!</v>
      </c>
      <c r="R19" s="204" t="e">
        <f t="shared" si="4"/>
        <v>#VALUE!</v>
      </c>
      <c r="S19" s="204" t="e">
        <f t="shared" si="5"/>
        <v>#VALUE!</v>
      </c>
      <c r="T19" s="204" t="e">
        <f t="shared" si="6"/>
        <v>#VALUE!</v>
      </c>
      <c r="U19" s="204" t="e">
        <f t="shared" si="7"/>
        <v>#VALUE!</v>
      </c>
      <c r="V19" s="204" t="e">
        <f t="shared" si="8"/>
        <v>#VALUE!</v>
      </c>
      <c r="W19" s="204">
        <f t="shared" si="9"/>
        <v>4.1176470588235294E-2</v>
      </c>
      <c r="X19" s="204" t="e">
        <f t="shared" si="10"/>
        <v>#VALUE!</v>
      </c>
      <c r="Y19" s="204" t="e">
        <f t="shared" si="11"/>
        <v>#VALUE!</v>
      </c>
      <c r="Z19" s="204">
        <f t="shared" si="12"/>
        <v>0.12941176470588237</v>
      </c>
      <c r="AA19" s="204" t="e">
        <f t="shared" si="13"/>
        <v>#VALUE!</v>
      </c>
      <c r="AC19" s="131" t="s">
        <v>349</v>
      </c>
    </row>
    <row r="20" spans="1:30" ht="12.45" customHeight="1">
      <c r="A20" s="121" t="s">
        <v>231</v>
      </c>
      <c r="B20" s="105">
        <v>1222000</v>
      </c>
      <c r="C20" s="9">
        <v>322000</v>
      </c>
      <c r="D20" s="9">
        <v>4000</v>
      </c>
      <c r="E20" s="9">
        <v>4000</v>
      </c>
      <c r="F20" s="9">
        <v>3000</v>
      </c>
      <c r="G20" s="13" t="s">
        <v>220</v>
      </c>
      <c r="H20" s="13" t="s">
        <v>191</v>
      </c>
      <c r="I20" s="9">
        <v>3000</v>
      </c>
      <c r="J20" s="13" t="s">
        <v>220</v>
      </c>
      <c r="K20" s="9">
        <v>236000</v>
      </c>
      <c r="L20" s="9">
        <v>14000</v>
      </c>
      <c r="M20" s="9">
        <v>47000</v>
      </c>
      <c r="N20" s="9">
        <v>10000</v>
      </c>
      <c r="O20" s="204">
        <f t="shared" si="0"/>
        <v>-0.26350245499181668</v>
      </c>
      <c r="P20" s="204">
        <f t="shared" si="1"/>
        <v>0.73649754500818332</v>
      </c>
      <c r="Q20" s="204">
        <f t="shared" si="3"/>
        <v>3.2733224222585926E-3</v>
      </c>
      <c r="R20" s="204">
        <f t="shared" si="4"/>
        <v>3.2733224222585926E-3</v>
      </c>
      <c r="S20" s="204">
        <f t="shared" si="5"/>
        <v>2.4549918166939444E-3</v>
      </c>
      <c r="T20" s="204" t="e">
        <f t="shared" si="6"/>
        <v>#VALUE!</v>
      </c>
      <c r="U20" s="204" t="e">
        <f t="shared" si="7"/>
        <v>#VALUE!</v>
      </c>
      <c r="V20" s="204">
        <f t="shared" si="8"/>
        <v>2.4549918166939444E-3</v>
      </c>
      <c r="W20" s="204" t="e">
        <f t="shared" si="9"/>
        <v>#VALUE!</v>
      </c>
      <c r="X20" s="204">
        <f t="shared" si="10"/>
        <v>0.19312602291325695</v>
      </c>
      <c r="Y20" s="204">
        <f t="shared" si="11"/>
        <v>1.1456628477905073E-2</v>
      </c>
      <c r="Z20" s="204">
        <f t="shared" si="12"/>
        <v>3.8461538461538464E-2</v>
      </c>
      <c r="AA20" s="204">
        <f t="shared" si="13"/>
        <v>8.1833060556464818E-3</v>
      </c>
      <c r="AC20" s="130" t="s">
        <v>229</v>
      </c>
    </row>
    <row r="21" spans="1:30" ht="12.45" customHeight="1">
      <c r="A21" s="120" t="s">
        <v>175</v>
      </c>
      <c r="B21" s="105">
        <v>5031000</v>
      </c>
      <c r="C21" s="9">
        <v>3225000</v>
      </c>
      <c r="D21" s="9">
        <v>15000</v>
      </c>
      <c r="E21" s="9">
        <v>28000</v>
      </c>
      <c r="F21" s="9">
        <v>14000</v>
      </c>
      <c r="G21" s="9">
        <v>19000</v>
      </c>
      <c r="H21" s="9">
        <v>19000</v>
      </c>
      <c r="I21" s="9">
        <v>10000</v>
      </c>
      <c r="J21" s="9">
        <v>10000</v>
      </c>
      <c r="K21" s="9">
        <v>68000</v>
      </c>
      <c r="L21" s="9">
        <v>2391000</v>
      </c>
      <c r="M21" s="9">
        <v>554000</v>
      </c>
      <c r="N21" s="9">
        <v>97000</v>
      </c>
      <c r="O21" s="204">
        <f t="shared" si="0"/>
        <v>-0.64102564102564108</v>
      </c>
      <c r="P21" s="204">
        <f t="shared" si="1"/>
        <v>0.35897435897435892</v>
      </c>
      <c r="Q21" s="204">
        <f t="shared" si="3"/>
        <v>2.9815146094215863E-3</v>
      </c>
      <c r="R21" s="204">
        <f t="shared" si="4"/>
        <v>5.5654939375869607E-3</v>
      </c>
      <c r="S21" s="204">
        <f t="shared" si="5"/>
        <v>2.7827469687934803E-3</v>
      </c>
      <c r="T21" s="204">
        <f t="shared" si="6"/>
        <v>3.776585171934009E-3</v>
      </c>
      <c r="U21" s="204">
        <f t="shared" si="7"/>
        <v>3.776585171934009E-3</v>
      </c>
      <c r="V21" s="204">
        <f t="shared" si="8"/>
        <v>1.9876764062810573E-3</v>
      </c>
      <c r="W21" s="204">
        <f t="shared" si="9"/>
        <v>1.9876764062810573E-3</v>
      </c>
      <c r="X21" s="204">
        <f t="shared" si="10"/>
        <v>1.3516199562711191E-2</v>
      </c>
      <c r="Y21" s="204">
        <f t="shared" si="11"/>
        <v>0.47525342874180082</v>
      </c>
      <c r="Z21" s="204">
        <f t="shared" si="12"/>
        <v>0.11011727290797058</v>
      </c>
      <c r="AA21" s="204">
        <f t="shared" si="13"/>
        <v>1.9280461140926256E-2</v>
      </c>
      <c r="AC21" s="184" t="s">
        <v>350</v>
      </c>
    </row>
    <row r="22" spans="1:30" ht="12.45" customHeight="1">
      <c r="A22" s="120" t="s">
        <v>176</v>
      </c>
      <c r="B22" s="105">
        <v>22219000</v>
      </c>
      <c r="C22" s="9">
        <v>6032000</v>
      </c>
      <c r="D22" s="9">
        <v>67000</v>
      </c>
      <c r="E22" s="9">
        <v>38000</v>
      </c>
      <c r="F22" s="9">
        <v>23000</v>
      </c>
      <c r="G22" s="9">
        <v>10000</v>
      </c>
      <c r="H22" s="9">
        <v>28000</v>
      </c>
      <c r="I22" s="9">
        <v>19000</v>
      </c>
      <c r="J22" s="9">
        <v>17000</v>
      </c>
      <c r="K22" s="9">
        <v>67000</v>
      </c>
      <c r="L22" s="9">
        <v>394000</v>
      </c>
      <c r="M22" s="9">
        <v>5069000</v>
      </c>
      <c r="N22" s="9">
        <v>299000</v>
      </c>
      <c r="O22" s="204">
        <f t="shared" si="0"/>
        <v>-0.27147936450785365</v>
      </c>
      <c r="P22" s="204">
        <f t="shared" si="1"/>
        <v>0.7285206354921463</v>
      </c>
      <c r="Q22" s="204">
        <f t="shared" si="3"/>
        <v>3.015437238399568E-3</v>
      </c>
      <c r="R22" s="204">
        <f t="shared" si="4"/>
        <v>1.710247985957964E-3</v>
      </c>
      <c r="S22" s="204">
        <f t="shared" si="5"/>
        <v>1.0351500967640307E-3</v>
      </c>
      <c r="T22" s="204">
        <f t="shared" si="6"/>
        <v>4.500652594626221E-4</v>
      </c>
      <c r="U22" s="204">
        <f t="shared" si="7"/>
        <v>1.2601827264953418E-3</v>
      </c>
      <c r="V22" s="204">
        <f t="shared" si="8"/>
        <v>8.5512399297898198E-4</v>
      </c>
      <c r="W22" s="204">
        <f t="shared" si="9"/>
        <v>7.6511094108645751E-4</v>
      </c>
      <c r="X22" s="204">
        <f t="shared" si="10"/>
        <v>3.015437238399568E-3</v>
      </c>
      <c r="Y22" s="204">
        <f t="shared" si="11"/>
        <v>1.7732571222827311E-2</v>
      </c>
      <c r="Z22" s="204">
        <f t="shared" si="12"/>
        <v>0.22813808002160313</v>
      </c>
      <c r="AA22" s="204">
        <f t="shared" si="13"/>
        <v>1.3456951257932399E-2</v>
      </c>
      <c r="AC22" s="131" t="s">
        <v>351</v>
      </c>
    </row>
    <row r="23" spans="1:30" ht="12.45" customHeight="1">
      <c r="A23" s="114" t="s">
        <v>219</v>
      </c>
      <c r="B23" s="144">
        <v>14688000</v>
      </c>
      <c r="C23" s="143">
        <v>6603000</v>
      </c>
      <c r="D23" s="143">
        <v>77000</v>
      </c>
      <c r="E23" s="143">
        <v>104000</v>
      </c>
      <c r="F23" s="143">
        <v>40000</v>
      </c>
      <c r="G23" s="143">
        <v>4000</v>
      </c>
      <c r="H23" s="143">
        <v>28000</v>
      </c>
      <c r="I23" s="143">
        <v>23000</v>
      </c>
      <c r="J23" s="143">
        <v>137000</v>
      </c>
      <c r="K23" s="143">
        <v>191000</v>
      </c>
      <c r="L23" s="143">
        <v>1313000</v>
      </c>
      <c r="M23" s="143">
        <v>4480000</v>
      </c>
      <c r="N23" s="143">
        <v>206000</v>
      </c>
      <c r="O23" s="204">
        <f t="shared" si="0"/>
        <v>-0.44955065359477125</v>
      </c>
      <c r="P23" s="204">
        <f t="shared" si="1"/>
        <v>0.55044934640522869</v>
      </c>
      <c r="Q23" s="204">
        <f t="shared" si="3"/>
        <v>5.2423747276688455E-3</v>
      </c>
      <c r="R23" s="204">
        <f t="shared" si="4"/>
        <v>7.0806100217864921E-3</v>
      </c>
      <c r="S23" s="204">
        <f t="shared" si="5"/>
        <v>2.7233115468409588E-3</v>
      </c>
      <c r="T23" s="204">
        <f t="shared" si="6"/>
        <v>2.7233115468409589E-4</v>
      </c>
      <c r="U23" s="204">
        <f t="shared" si="7"/>
        <v>1.906318082788671E-3</v>
      </c>
      <c r="V23" s="204">
        <f t="shared" si="8"/>
        <v>1.5659041394335512E-3</v>
      </c>
      <c r="W23" s="204">
        <f t="shared" si="9"/>
        <v>9.3273420479302836E-3</v>
      </c>
      <c r="X23" s="204">
        <f t="shared" si="10"/>
        <v>1.3003812636165577E-2</v>
      </c>
      <c r="Y23" s="204">
        <f t="shared" si="11"/>
        <v>8.9392701525054463E-2</v>
      </c>
      <c r="Z23" s="204">
        <f t="shared" si="12"/>
        <v>0.30501089324618735</v>
      </c>
      <c r="AA23" s="204">
        <f t="shared" si="13"/>
        <v>1.4025054466230936E-2</v>
      </c>
      <c r="AC23" s="131" t="s">
        <v>352</v>
      </c>
    </row>
    <row r="24" spans="1:30" ht="12.45" customHeight="1">
      <c r="A24" s="115" t="s">
        <v>174</v>
      </c>
      <c r="B24" s="105">
        <v>2411000</v>
      </c>
      <c r="C24" s="9">
        <v>562000</v>
      </c>
      <c r="D24" s="9">
        <v>51000</v>
      </c>
      <c r="E24" s="9">
        <v>60000</v>
      </c>
      <c r="F24" s="9">
        <v>19000</v>
      </c>
      <c r="G24" s="13" t="s">
        <v>191</v>
      </c>
      <c r="H24" s="9">
        <v>10000</v>
      </c>
      <c r="I24" s="9">
        <v>13000</v>
      </c>
      <c r="J24" s="9">
        <v>39000</v>
      </c>
      <c r="K24" s="9">
        <v>119000</v>
      </c>
      <c r="L24" s="9">
        <v>29000</v>
      </c>
      <c r="M24" s="9">
        <v>184000</v>
      </c>
      <c r="N24" s="9">
        <v>36000</v>
      </c>
      <c r="O24" s="204">
        <f t="shared" si="0"/>
        <v>-0.23309829946080465</v>
      </c>
      <c r="P24" s="204">
        <f t="shared" si="1"/>
        <v>0.76690170053919537</v>
      </c>
      <c r="Q24" s="204">
        <f t="shared" si="3"/>
        <v>2.1153048527581916E-2</v>
      </c>
      <c r="R24" s="204">
        <f t="shared" si="4"/>
        <v>2.4885939444214019E-2</v>
      </c>
      <c r="S24" s="204">
        <f t="shared" si="5"/>
        <v>7.8805474906677719E-3</v>
      </c>
      <c r="T24" s="204" t="e">
        <f t="shared" si="6"/>
        <v>#VALUE!</v>
      </c>
      <c r="U24" s="204">
        <f t="shared" si="7"/>
        <v>4.1476565740356701E-3</v>
      </c>
      <c r="V24" s="204">
        <f t="shared" si="8"/>
        <v>5.3919535462463707E-3</v>
      </c>
      <c r="W24" s="204">
        <f t="shared" si="9"/>
        <v>1.6175860638739114E-2</v>
      </c>
      <c r="X24" s="204">
        <f t="shared" si="10"/>
        <v>4.9357113231024471E-2</v>
      </c>
      <c r="Y24" s="204">
        <f t="shared" si="11"/>
        <v>1.2028204064703443E-2</v>
      </c>
      <c r="Z24" s="204">
        <f t="shared" si="12"/>
        <v>7.631688096225632E-2</v>
      </c>
      <c r="AA24" s="204">
        <f t="shared" si="13"/>
        <v>1.4931563666528411E-2</v>
      </c>
      <c r="AC24" s="131" t="s">
        <v>353</v>
      </c>
    </row>
    <row r="25" spans="1:30" ht="12.45" customHeight="1">
      <c r="A25" s="158" t="s">
        <v>227</v>
      </c>
      <c r="B25" s="105">
        <v>188000</v>
      </c>
      <c r="C25" s="9">
        <v>29000</v>
      </c>
      <c r="D25" s="13" t="s">
        <v>220</v>
      </c>
      <c r="E25" s="13" t="s">
        <v>220</v>
      </c>
      <c r="F25" s="13" t="s">
        <v>220</v>
      </c>
      <c r="G25" s="13" t="s">
        <v>220</v>
      </c>
      <c r="H25" s="9">
        <v>7000</v>
      </c>
      <c r="I25" s="9">
        <v>1000</v>
      </c>
      <c r="J25" s="13" t="s">
        <v>220</v>
      </c>
      <c r="K25" s="13" t="s">
        <v>220</v>
      </c>
      <c r="L25" s="9">
        <v>10000</v>
      </c>
      <c r="M25" s="9">
        <v>9000</v>
      </c>
      <c r="N25" s="13" t="s">
        <v>191</v>
      </c>
      <c r="O25" s="204">
        <f t="shared" si="0"/>
        <v>-0.15425531914893617</v>
      </c>
      <c r="P25" s="204">
        <f t="shared" si="1"/>
        <v>0.8457446808510638</v>
      </c>
      <c r="Q25" s="204" t="e">
        <f t="shared" si="3"/>
        <v>#VALUE!</v>
      </c>
      <c r="R25" s="204" t="e">
        <f t="shared" si="4"/>
        <v>#VALUE!</v>
      </c>
      <c r="S25" s="204" t="e">
        <f t="shared" si="5"/>
        <v>#VALUE!</v>
      </c>
      <c r="T25" s="204" t="e">
        <f t="shared" si="6"/>
        <v>#VALUE!</v>
      </c>
      <c r="U25" s="204">
        <f t="shared" si="7"/>
        <v>3.7234042553191488E-2</v>
      </c>
      <c r="V25" s="204">
        <f t="shared" si="8"/>
        <v>5.3191489361702126E-3</v>
      </c>
      <c r="W25" s="204" t="e">
        <f t="shared" si="9"/>
        <v>#VALUE!</v>
      </c>
      <c r="X25" s="204" t="e">
        <f t="shared" si="10"/>
        <v>#VALUE!</v>
      </c>
      <c r="Y25" s="204">
        <f t="shared" si="11"/>
        <v>5.3191489361702128E-2</v>
      </c>
      <c r="Z25" s="204">
        <f t="shared" si="12"/>
        <v>4.7872340425531915E-2</v>
      </c>
      <c r="AA25" s="204" t="e">
        <f t="shared" si="13"/>
        <v>#VALUE!</v>
      </c>
      <c r="AC25" s="131" t="s">
        <v>354</v>
      </c>
    </row>
    <row r="26" spans="1:30" ht="12.45" customHeight="1">
      <c r="A26" s="116" t="s">
        <v>228</v>
      </c>
      <c r="B26" s="105">
        <v>1251000</v>
      </c>
      <c r="C26" s="9">
        <v>235000</v>
      </c>
      <c r="D26" s="9">
        <v>49000</v>
      </c>
      <c r="E26" s="9">
        <v>54000</v>
      </c>
      <c r="F26" s="9">
        <v>18000</v>
      </c>
      <c r="G26" s="9">
        <v>1000</v>
      </c>
      <c r="H26" s="13" t="s">
        <v>220</v>
      </c>
      <c r="I26" s="13" t="s">
        <v>220</v>
      </c>
      <c r="J26" s="13" t="s">
        <v>220</v>
      </c>
      <c r="K26" s="9">
        <v>4000</v>
      </c>
      <c r="L26" s="9">
        <v>8000</v>
      </c>
      <c r="M26" s="9">
        <v>78000</v>
      </c>
      <c r="N26" s="9">
        <v>24000</v>
      </c>
      <c r="O26" s="204">
        <f t="shared" si="0"/>
        <v>-0.18784972022382093</v>
      </c>
      <c r="P26" s="204">
        <f t="shared" si="1"/>
        <v>0.81215027977617904</v>
      </c>
      <c r="Q26" s="204">
        <f t="shared" si="3"/>
        <v>3.9168665067945641E-2</v>
      </c>
      <c r="R26" s="204">
        <f t="shared" si="4"/>
        <v>4.3165467625899283E-2</v>
      </c>
      <c r="S26" s="204">
        <f t="shared" si="5"/>
        <v>1.4388489208633094E-2</v>
      </c>
      <c r="T26" s="204">
        <f t="shared" si="6"/>
        <v>7.993605115907274E-4</v>
      </c>
      <c r="U26" s="204" t="e">
        <f t="shared" si="7"/>
        <v>#VALUE!</v>
      </c>
      <c r="V26" s="204" t="e">
        <f t="shared" si="8"/>
        <v>#VALUE!</v>
      </c>
      <c r="W26" s="204" t="e">
        <f t="shared" si="9"/>
        <v>#VALUE!</v>
      </c>
      <c r="X26" s="204">
        <f t="shared" si="10"/>
        <v>3.1974420463629096E-3</v>
      </c>
      <c r="Y26" s="204">
        <f t="shared" si="11"/>
        <v>6.3948840927258192E-3</v>
      </c>
      <c r="Z26" s="204">
        <f t="shared" si="12"/>
        <v>6.235011990407674E-2</v>
      </c>
      <c r="AA26" s="204">
        <f t="shared" si="13"/>
        <v>1.9184652278177457E-2</v>
      </c>
      <c r="AC26" s="130" t="s">
        <v>230</v>
      </c>
    </row>
    <row r="27" spans="1:30" ht="12.45" customHeight="1">
      <c r="A27" s="116" t="s">
        <v>229</v>
      </c>
      <c r="B27" s="105">
        <v>105000</v>
      </c>
      <c r="C27" s="9">
        <v>23000</v>
      </c>
      <c r="D27" s="13" t="s">
        <v>220</v>
      </c>
      <c r="E27" s="13" t="s">
        <v>220</v>
      </c>
      <c r="F27" s="13" t="s">
        <v>220</v>
      </c>
      <c r="G27" s="13" t="s">
        <v>220</v>
      </c>
      <c r="H27" s="13" t="s">
        <v>191</v>
      </c>
      <c r="I27" s="9">
        <v>10000</v>
      </c>
      <c r="J27" s="13" t="s">
        <v>220</v>
      </c>
      <c r="K27" s="13" t="s">
        <v>191</v>
      </c>
      <c r="L27" s="9">
        <v>1000</v>
      </c>
      <c r="M27" s="9">
        <v>6000</v>
      </c>
      <c r="N27" s="13" t="s">
        <v>220</v>
      </c>
      <c r="O27" s="204">
        <f t="shared" si="0"/>
        <v>-0.21904761904761905</v>
      </c>
      <c r="P27" s="204">
        <f t="shared" si="1"/>
        <v>0.78095238095238095</v>
      </c>
      <c r="Q27" s="204" t="e">
        <f t="shared" si="3"/>
        <v>#VALUE!</v>
      </c>
      <c r="R27" s="204" t="e">
        <f t="shared" si="4"/>
        <v>#VALUE!</v>
      </c>
      <c r="S27" s="204" t="e">
        <f t="shared" si="5"/>
        <v>#VALUE!</v>
      </c>
      <c r="T27" s="204" t="e">
        <f t="shared" si="6"/>
        <v>#VALUE!</v>
      </c>
      <c r="U27" s="204" t="e">
        <f t="shared" si="7"/>
        <v>#VALUE!</v>
      </c>
      <c r="V27" s="204">
        <f t="shared" si="8"/>
        <v>9.5238095238095233E-2</v>
      </c>
      <c r="W27" s="204" t="e">
        <f t="shared" si="9"/>
        <v>#VALUE!</v>
      </c>
      <c r="X27" s="204" t="e">
        <f t="shared" si="10"/>
        <v>#VALUE!</v>
      </c>
      <c r="Y27" s="204">
        <f t="shared" si="11"/>
        <v>9.5238095238095247E-3</v>
      </c>
      <c r="Z27" s="204">
        <f t="shared" si="12"/>
        <v>5.7142857142857141E-2</v>
      </c>
      <c r="AA27" s="204" t="e">
        <f t="shared" si="13"/>
        <v>#VALUE!</v>
      </c>
      <c r="AC27" s="131" t="s">
        <v>355</v>
      </c>
      <c r="AD27" t="s">
        <v>527</v>
      </c>
    </row>
    <row r="28" spans="1:30" ht="12.45" customHeight="1">
      <c r="A28" s="116" t="s">
        <v>230</v>
      </c>
      <c r="B28" s="105">
        <v>283000</v>
      </c>
      <c r="C28" s="9">
        <v>110000</v>
      </c>
      <c r="D28" s="13" t="s">
        <v>220</v>
      </c>
      <c r="E28" s="13" t="s">
        <v>220</v>
      </c>
      <c r="F28" s="13" t="s">
        <v>220</v>
      </c>
      <c r="G28" s="13" t="s">
        <v>220</v>
      </c>
      <c r="H28" s="13" t="s">
        <v>220</v>
      </c>
      <c r="I28" s="13" t="s">
        <v>191</v>
      </c>
      <c r="J28" s="9">
        <v>38000</v>
      </c>
      <c r="K28" s="13" t="s">
        <v>220</v>
      </c>
      <c r="L28" s="9">
        <v>7000</v>
      </c>
      <c r="M28" s="9">
        <v>58000</v>
      </c>
      <c r="N28" s="9">
        <v>6000</v>
      </c>
      <c r="O28" s="204">
        <f t="shared" si="0"/>
        <v>-0.38869257950530034</v>
      </c>
      <c r="P28" s="204">
        <f t="shared" si="1"/>
        <v>0.61130742049469966</v>
      </c>
      <c r="Q28" s="204" t="e">
        <f t="shared" si="3"/>
        <v>#VALUE!</v>
      </c>
      <c r="R28" s="204" t="e">
        <f t="shared" si="4"/>
        <v>#VALUE!</v>
      </c>
      <c r="S28" s="204" t="e">
        <f t="shared" si="5"/>
        <v>#VALUE!</v>
      </c>
      <c r="T28" s="204" t="e">
        <f t="shared" si="6"/>
        <v>#VALUE!</v>
      </c>
      <c r="U28" s="204" t="e">
        <f t="shared" si="7"/>
        <v>#VALUE!</v>
      </c>
      <c r="V28" s="204" t="e">
        <f t="shared" si="8"/>
        <v>#VALUE!</v>
      </c>
      <c r="W28" s="204">
        <f t="shared" si="9"/>
        <v>0.13427561837455831</v>
      </c>
      <c r="X28" s="204" t="e">
        <f t="shared" si="10"/>
        <v>#VALUE!</v>
      </c>
      <c r="Y28" s="204">
        <f t="shared" si="11"/>
        <v>2.4734982332155476E-2</v>
      </c>
      <c r="Z28" s="204">
        <f t="shared" si="12"/>
        <v>0.20494699646643111</v>
      </c>
      <c r="AA28" s="204">
        <f t="shared" si="13"/>
        <v>2.1201413427561839E-2</v>
      </c>
      <c r="AC28" s="131" t="s">
        <v>356</v>
      </c>
    </row>
    <row r="29" spans="1:30" ht="12.45" customHeight="1">
      <c r="A29" s="116" t="s">
        <v>231</v>
      </c>
      <c r="B29" s="105">
        <v>584000</v>
      </c>
      <c r="C29" s="9">
        <v>165000</v>
      </c>
      <c r="D29" s="9">
        <v>2000</v>
      </c>
      <c r="E29" s="9">
        <v>5000</v>
      </c>
      <c r="F29" s="13" t="s">
        <v>222</v>
      </c>
      <c r="G29" s="13" t="s">
        <v>220</v>
      </c>
      <c r="H29" s="13" t="s">
        <v>220</v>
      </c>
      <c r="I29" s="9">
        <v>1000</v>
      </c>
      <c r="J29" s="13" t="s">
        <v>191</v>
      </c>
      <c r="K29" s="9">
        <v>113000</v>
      </c>
      <c r="L29" s="9">
        <v>3000</v>
      </c>
      <c r="M29" s="9">
        <v>33000</v>
      </c>
      <c r="N29" s="9">
        <v>5000</v>
      </c>
      <c r="O29" s="204">
        <f t="shared" si="0"/>
        <v>-0.28253424657534248</v>
      </c>
      <c r="P29" s="204">
        <f t="shared" si="1"/>
        <v>0.71746575342465757</v>
      </c>
      <c r="Q29" s="204">
        <f t="shared" si="3"/>
        <v>3.4246575342465752E-3</v>
      </c>
      <c r="R29" s="204">
        <f t="shared" si="4"/>
        <v>8.5616438356164379E-3</v>
      </c>
      <c r="S29" s="204" t="e">
        <f t="shared" si="5"/>
        <v>#VALUE!</v>
      </c>
      <c r="T29" s="204" t="e">
        <f t="shared" si="6"/>
        <v>#VALUE!</v>
      </c>
      <c r="U29" s="204" t="e">
        <f t="shared" si="7"/>
        <v>#VALUE!</v>
      </c>
      <c r="V29" s="204">
        <f t="shared" si="8"/>
        <v>1.7123287671232876E-3</v>
      </c>
      <c r="W29" s="204" t="e">
        <f t="shared" si="9"/>
        <v>#VALUE!</v>
      </c>
      <c r="X29" s="204">
        <f t="shared" si="10"/>
        <v>0.1934931506849315</v>
      </c>
      <c r="Y29" s="204">
        <f t="shared" si="11"/>
        <v>5.1369863013698627E-3</v>
      </c>
      <c r="Z29" s="204">
        <f t="shared" si="12"/>
        <v>5.650684931506849E-2</v>
      </c>
      <c r="AA29" s="204">
        <f t="shared" si="13"/>
        <v>8.5616438356164379E-3</v>
      </c>
      <c r="AC29" s="131" t="s">
        <v>357</v>
      </c>
    </row>
    <row r="30" spans="1:30" ht="12.45" customHeight="1">
      <c r="A30" s="115" t="s">
        <v>175</v>
      </c>
      <c r="B30" s="105">
        <v>2578000</v>
      </c>
      <c r="C30" s="9">
        <v>1804000</v>
      </c>
      <c r="D30" s="9">
        <v>10000</v>
      </c>
      <c r="E30" s="9">
        <v>18000</v>
      </c>
      <c r="F30" s="9">
        <v>5000</v>
      </c>
      <c r="G30" s="9">
        <v>2000</v>
      </c>
      <c r="H30" s="9">
        <v>5000</v>
      </c>
      <c r="I30" s="9">
        <v>7000</v>
      </c>
      <c r="J30" s="9">
        <v>18000</v>
      </c>
      <c r="K30" s="9">
        <v>28000</v>
      </c>
      <c r="L30" s="9">
        <v>1054000</v>
      </c>
      <c r="M30" s="9">
        <v>609000</v>
      </c>
      <c r="N30" s="9">
        <v>47000</v>
      </c>
      <c r="O30" s="204">
        <f t="shared" si="0"/>
        <v>-0.69976726144297907</v>
      </c>
      <c r="P30" s="204">
        <f t="shared" si="1"/>
        <v>0.30023273855702093</v>
      </c>
      <c r="Q30" s="204">
        <f t="shared" si="3"/>
        <v>3.8789759503491078E-3</v>
      </c>
      <c r="R30" s="204">
        <f t="shared" si="4"/>
        <v>6.9821567106283944E-3</v>
      </c>
      <c r="S30" s="204">
        <f t="shared" si="5"/>
        <v>1.9394879751745539E-3</v>
      </c>
      <c r="T30" s="204">
        <f t="shared" si="6"/>
        <v>7.7579519006982156E-4</v>
      </c>
      <c r="U30" s="204">
        <f t="shared" si="7"/>
        <v>1.9394879751745539E-3</v>
      </c>
      <c r="V30" s="204">
        <f t="shared" si="8"/>
        <v>2.7152831652443757E-3</v>
      </c>
      <c r="W30" s="204">
        <f t="shared" si="9"/>
        <v>6.9821567106283944E-3</v>
      </c>
      <c r="X30" s="204">
        <f t="shared" si="10"/>
        <v>1.0861132660977503E-2</v>
      </c>
      <c r="Y30" s="204">
        <f t="shared" si="11"/>
        <v>0.40884406516679594</v>
      </c>
      <c r="Z30" s="204">
        <f t="shared" si="12"/>
        <v>0.23622963537626065</v>
      </c>
      <c r="AA30" s="204">
        <f t="shared" si="13"/>
        <v>1.8231186966640806E-2</v>
      </c>
      <c r="AC30" s="131" t="s">
        <v>358</v>
      </c>
    </row>
    <row r="31" spans="1:30" ht="12.45" customHeight="1">
      <c r="A31" s="115" t="s">
        <v>176</v>
      </c>
      <c r="B31" s="105">
        <v>9699000</v>
      </c>
      <c r="C31" s="9">
        <v>4237000</v>
      </c>
      <c r="D31" s="9">
        <v>15000</v>
      </c>
      <c r="E31" s="9">
        <v>26000</v>
      </c>
      <c r="F31" s="13" t="s">
        <v>191</v>
      </c>
      <c r="G31" s="13" t="s">
        <v>222</v>
      </c>
      <c r="H31" s="9">
        <v>13000</v>
      </c>
      <c r="I31" s="9">
        <v>3000</v>
      </c>
      <c r="J31" s="9">
        <v>79000</v>
      </c>
      <c r="K31" s="9">
        <v>43000</v>
      </c>
      <c r="L31" s="9">
        <v>230000</v>
      </c>
      <c r="M31" s="9">
        <v>3687000</v>
      </c>
      <c r="N31" s="9">
        <v>123000</v>
      </c>
      <c r="O31" s="204">
        <f t="shared" si="0"/>
        <v>-0.4368491597071863</v>
      </c>
      <c r="P31" s="204">
        <f t="shared" si="1"/>
        <v>0.5631508402928137</v>
      </c>
      <c r="Q31" s="204">
        <f t="shared" si="3"/>
        <v>1.5465511908444171E-3</v>
      </c>
      <c r="R31" s="204">
        <f t="shared" si="4"/>
        <v>2.6806887307969894E-3</v>
      </c>
      <c r="S31" s="204" t="e">
        <f t="shared" si="5"/>
        <v>#VALUE!</v>
      </c>
      <c r="T31" s="204" t="e">
        <f t="shared" si="6"/>
        <v>#VALUE!</v>
      </c>
      <c r="U31" s="204">
        <f t="shared" si="7"/>
        <v>1.3403443653984947E-3</v>
      </c>
      <c r="V31" s="204">
        <f t="shared" si="8"/>
        <v>3.0931023816888341E-4</v>
      </c>
      <c r="W31" s="204">
        <f t="shared" si="9"/>
        <v>8.1451696051139284E-3</v>
      </c>
      <c r="X31" s="204">
        <f t="shared" si="10"/>
        <v>4.4334467470873284E-3</v>
      </c>
      <c r="Y31" s="204">
        <f t="shared" si="11"/>
        <v>2.371378492628106E-2</v>
      </c>
      <c r="Z31" s="204">
        <f t="shared" si="12"/>
        <v>0.38014228270955769</v>
      </c>
      <c r="AA31" s="204">
        <f t="shared" si="13"/>
        <v>1.2681719764924219E-2</v>
      </c>
      <c r="AC31" s="131" t="s">
        <v>359</v>
      </c>
    </row>
    <row r="32" spans="1:30" ht="12.45" customHeight="1">
      <c r="A32" s="135" t="s">
        <v>221</v>
      </c>
      <c r="B32" s="136">
        <v>2141000</v>
      </c>
      <c r="C32" s="137">
        <v>591000</v>
      </c>
      <c r="D32" s="137">
        <v>4000</v>
      </c>
      <c r="E32" s="137">
        <v>2000</v>
      </c>
      <c r="F32" s="137">
        <v>3000</v>
      </c>
      <c r="G32" s="159" t="s">
        <v>220</v>
      </c>
      <c r="H32" s="137">
        <v>6000</v>
      </c>
      <c r="I32" s="137">
        <v>7000</v>
      </c>
      <c r="J32" s="137">
        <v>78000</v>
      </c>
      <c r="K32" s="137">
        <v>18000</v>
      </c>
      <c r="L32" s="137">
        <v>205000</v>
      </c>
      <c r="M32" s="137">
        <v>246000</v>
      </c>
      <c r="N32" s="137">
        <v>23000</v>
      </c>
      <c r="O32" s="204">
        <f t="shared" si="0"/>
        <v>-0.27603923400280245</v>
      </c>
      <c r="P32" s="204">
        <f t="shared" si="1"/>
        <v>0.72396076599719761</v>
      </c>
      <c r="Q32" s="204">
        <f t="shared" si="3"/>
        <v>1.8682858477347033E-3</v>
      </c>
      <c r="R32" s="204">
        <f t="shared" si="4"/>
        <v>9.3414292386735165E-4</v>
      </c>
      <c r="S32" s="204">
        <f t="shared" si="5"/>
        <v>1.4012143858010276E-3</v>
      </c>
      <c r="T32" s="204" t="e">
        <f t="shared" si="6"/>
        <v>#VALUE!</v>
      </c>
      <c r="U32" s="204">
        <f t="shared" si="7"/>
        <v>2.8024287716020553E-3</v>
      </c>
      <c r="V32" s="204">
        <f t="shared" si="8"/>
        <v>3.269500233535731E-3</v>
      </c>
      <c r="W32" s="204">
        <f t="shared" si="9"/>
        <v>3.6431574030826717E-2</v>
      </c>
      <c r="X32" s="204">
        <f t="shared" si="10"/>
        <v>8.4072863148061654E-3</v>
      </c>
      <c r="Y32" s="204">
        <f t="shared" si="11"/>
        <v>9.5749649696403552E-2</v>
      </c>
      <c r="Z32" s="204">
        <f t="shared" si="12"/>
        <v>0.11489957963568426</v>
      </c>
      <c r="AA32" s="204">
        <f t="shared" si="13"/>
        <v>1.0742643624474545E-2</v>
      </c>
      <c r="AC32" s="131" t="s">
        <v>360</v>
      </c>
    </row>
    <row r="33" spans="1:30" ht="12.45" customHeight="1">
      <c r="A33" s="138" t="s">
        <v>174</v>
      </c>
      <c r="B33" s="105">
        <v>962000</v>
      </c>
      <c r="C33" s="9">
        <v>141000</v>
      </c>
      <c r="D33" s="9">
        <v>2000</v>
      </c>
      <c r="E33" s="9">
        <v>1000</v>
      </c>
      <c r="F33" s="13" t="s">
        <v>191</v>
      </c>
      <c r="G33" s="13" t="s">
        <v>220</v>
      </c>
      <c r="H33" s="9">
        <v>4000</v>
      </c>
      <c r="I33" s="9">
        <v>5000</v>
      </c>
      <c r="J33" s="9">
        <v>63000</v>
      </c>
      <c r="K33" s="9">
        <v>13000</v>
      </c>
      <c r="L33" s="9">
        <v>12000</v>
      </c>
      <c r="M33" s="9">
        <v>32000</v>
      </c>
      <c r="N33" s="9">
        <v>6000</v>
      </c>
      <c r="O33" s="204">
        <f t="shared" si="0"/>
        <v>-0.14656964656964658</v>
      </c>
      <c r="P33" s="204">
        <f t="shared" si="1"/>
        <v>0.85343035343035345</v>
      </c>
      <c r="Q33" s="204">
        <f t="shared" si="3"/>
        <v>2.0790020790020791E-3</v>
      </c>
      <c r="R33" s="204">
        <f t="shared" si="4"/>
        <v>1.0395010395010396E-3</v>
      </c>
      <c r="S33" s="204" t="e">
        <f t="shared" si="5"/>
        <v>#VALUE!</v>
      </c>
      <c r="T33" s="204" t="e">
        <f t="shared" si="6"/>
        <v>#VALUE!</v>
      </c>
      <c r="U33" s="204">
        <f t="shared" si="7"/>
        <v>4.1580041580041582E-3</v>
      </c>
      <c r="V33" s="204">
        <f t="shared" si="8"/>
        <v>5.1975051975051978E-3</v>
      </c>
      <c r="W33" s="204">
        <f t="shared" si="9"/>
        <v>6.5488565488565492E-2</v>
      </c>
      <c r="X33" s="204">
        <f t="shared" si="10"/>
        <v>1.3513513513513514E-2</v>
      </c>
      <c r="Y33" s="204">
        <f t="shared" si="11"/>
        <v>1.2474012474012475E-2</v>
      </c>
      <c r="Z33" s="204">
        <f t="shared" si="12"/>
        <v>3.3264033264033266E-2</v>
      </c>
      <c r="AA33" s="204">
        <f t="shared" si="13"/>
        <v>6.2370062370062374E-3</v>
      </c>
      <c r="AC33" s="130" t="s">
        <v>231</v>
      </c>
      <c r="AD33" t="s">
        <v>528</v>
      </c>
    </row>
    <row r="34" spans="1:30" ht="12.45" customHeight="1">
      <c r="A34" s="138" t="s">
        <v>175</v>
      </c>
      <c r="B34" s="105">
        <v>374000</v>
      </c>
      <c r="C34" s="9">
        <v>218000</v>
      </c>
      <c r="D34" s="13" t="s">
        <v>220</v>
      </c>
      <c r="E34" s="13" t="s">
        <v>220</v>
      </c>
      <c r="F34" s="13" t="s">
        <v>220</v>
      </c>
      <c r="G34" s="13" t="s">
        <v>220</v>
      </c>
      <c r="H34" s="13" t="s">
        <v>191</v>
      </c>
      <c r="I34" s="9">
        <v>1000</v>
      </c>
      <c r="J34" s="13" t="s">
        <v>191</v>
      </c>
      <c r="K34" s="9">
        <v>1000</v>
      </c>
      <c r="L34" s="9">
        <v>173000</v>
      </c>
      <c r="M34" s="9">
        <v>22000</v>
      </c>
      <c r="N34" s="13" t="s">
        <v>191</v>
      </c>
      <c r="O34" s="204">
        <f t="shared" si="0"/>
        <v>-0.58288770053475936</v>
      </c>
      <c r="P34" s="204">
        <f t="shared" si="1"/>
        <v>0.41711229946524064</v>
      </c>
      <c r="Q34" s="204" t="e">
        <f t="shared" si="3"/>
        <v>#VALUE!</v>
      </c>
      <c r="R34" s="204" t="e">
        <f t="shared" si="4"/>
        <v>#VALUE!</v>
      </c>
      <c r="S34" s="204" t="e">
        <f t="shared" si="5"/>
        <v>#VALUE!</v>
      </c>
      <c r="T34" s="204" t="e">
        <f t="shared" si="6"/>
        <v>#VALUE!</v>
      </c>
      <c r="U34" s="204" t="e">
        <f t="shared" si="7"/>
        <v>#VALUE!</v>
      </c>
      <c r="V34" s="204">
        <f t="shared" si="8"/>
        <v>2.6737967914438501E-3</v>
      </c>
      <c r="W34" s="204" t="e">
        <f t="shared" si="9"/>
        <v>#VALUE!</v>
      </c>
      <c r="X34" s="204">
        <f t="shared" si="10"/>
        <v>2.6737967914438501E-3</v>
      </c>
      <c r="Y34" s="204">
        <f t="shared" si="11"/>
        <v>0.46256684491978611</v>
      </c>
      <c r="Z34" s="204">
        <f t="shared" si="12"/>
        <v>5.8823529411764705E-2</v>
      </c>
      <c r="AA34" s="204" t="e">
        <f t="shared" si="13"/>
        <v>#VALUE!</v>
      </c>
      <c r="AC34" s="131" t="s">
        <v>361</v>
      </c>
    </row>
    <row r="35" spans="1:30" ht="12.45" customHeight="1">
      <c r="A35" s="138" t="s">
        <v>176</v>
      </c>
      <c r="B35" s="105">
        <v>805000</v>
      </c>
      <c r="C35" s="9">
        <v>232000</v>
      </c>
      <c r="D35" s="13" t="s">
        <v>220</v>
      </c>
      <c r="E35" s="13" t="s">
        <v>220</v>
      </c>
      <c r="F35" s="13" t="s">
        <v>220</v>
      </c>
      <c r="G35" s="13" t="s">
        <v>220</v>
      </c>
      <c r="H35" s="13" t="s">
        <v>222</v>
      </c>
      <c r="I35" s="13" t="s">
        <v>222</v>
      </c>
      <c r="J35" s="9">
        <v>6000</v>
      </c>
      <c r="K35" s="9">
        <v>5000</v>
      </c>
      <c r="L35" s="9">
        <v>21000</v>
      </c>
      <c r="M35" s="9">
        <v>191000</v>
      </c>
      <c r="N35" s="9">
        <v>6000</v>
      </c>
      <c r="O35" s="204">
        <f t="shared" si="0"/>
        <v>-0.28819875776397513</v>
      </c>
      <c r="P35" s="204">
        <f t="shared" si="1"/>
        <v>0.71180124223602492</v>
      </c>
      <c r="Q35" s="204" t="e">
        <f t="shared" si="3"/>
        <v>#VALUE!</v>
      </c>
      <c r="R35" s="204" t="e">
        <f t="shared" si="4"/>
        <v>#VALUE!</v>
      </c>
      <c r="S35" s="204" t="e">
        <f t="shared" si="5"/>
        <v>#VALUE!</v>
      </c>
      <c r="T35" s="204" t="e">
        <f t="shared" si="6"/>
        <v>#VALUE!</v>
      </c>
      <c r="U35" s="204" t="e">
        <f t="shared" si="7"/>
        <v>#VALUE!</v>
      </c>
      <c r="V35" s="204" t="e">
        <f t="shared" si="8"/>
        <v>#VALUE!</v>
      </c>
      <c r="W35" s="204">
        <f t="shared" si="9"/>
        <v>7.4534161490683228E-3</v>
      </c>
      <c r="X35" s="204">
        <f t="shared" si="10"/>
        <v>6.2111801242236021E-3</v>
      </c>
      <c r="Y35" s="204">
        <f t="shared" si="11"/>
        <v>2.6086956521739129E-2</v>
      </c>
      <c r="Z35" s="204">
        <f t="shared" si="12"/>
        <v>0.23726708074534161</v>
      </c>
      <c r="AA35" s="204">
        <f t="shared" si="13"/>
        <v>7.4534161490683228E-3</v>
      </c>
      <c r="AC35" s="131" t="s">
        <v>362</v>
      </c>
    </row>
    <row r="36" spans="1:30" ht="12.45" customHeight="1">
      <c r="A36" s="111" t="s">
        <v>223</v>
      </c>
      <c r="B36" s="109">
        <v>3246000</v>
      </c>
      <c r="C36" s="104">
        <v>2640000</v>
      </c>
      <c r="D36" s="152" t="s">
        <v>220</v>
      </c>
      <c r="E36" s="152" t="s">
        <v>220</v>
      </c>
      <c r="F36" s="152" t="s">
        <v>220</v>
      </c>
      <c r="G36" s="152" t="s">
        <v>220</v>
      </c>
      <c r="H36" s="152" t="s">
        <v>220</v>
      </c>
      <c r="I36" s="152" t="s">
        <v>220</v>
      </c>
      <c r="J36" s="104">
        <v>25000</v>
      </c>
      <c r="K36" s="152" t="s">
        <v>220</v>
      </c>
      <c r="L36" s="104">
        <v>1373000</v>
      </c>
      <c r="M36" s="104">
        <v>1173000</v>
      </c>
      <c r="N36" s="104">
        <v>64000</v>
      </c>
      <c r="AC36" s="131" t="s">
        <v>363</v>
      </c>
    </row>
    <row r="37" spans="1:30" ht="12.45" customHeight="1">
      <c r="A37" s="112" t="s">
        <v>174</v>
      </c>
      <c r="B37" s="105">
        <v>82000</v>
      </c>
      <c r="C37" s="9">
        <v>49000</v>
      </c>
      <c r="D37" s="13" t="s">
        <v>220</v>
      </c>
      <c r="E37" s="13" t="s">
        <v>220</v>
      </c>
      <c r="F37" s="13" t="s">
        <v>220</v>
      </c>
      <c r="G37" s="13" t="s">
        <v>220</v>
      </c>
      <c r="H37" s="13" t="s">
        <v>220</v>
      </c>
      <c r="I37" s="13" t="s">
        <v>220</v>
      </c>
      <c r="J37" s="9">
        <v>20000</v>
      </c>
      <c r="K37" s="13" t="s">
        <v>220</v>
      </c>
      <c r="L37" s="9">
        <v>13000</v>
      </c>
      <c r="M37" s="9">
        <v>15000</v>
      </c>
      <c r="N37" s="13" t="s">
        <v>220</v>
      </c>
      <c r="AC37" s="131" t="s">
        <v>364</v>
      </c>
    </row>
    <row r="38" spans="1:30" ht="12.45" customHeight="1">
      <c r="A38" s="112" t="s">
        <v>175</v>
      </c>
      <c r="B38" s="105">
        <v>1538000</v>
      </c>
      <c r="C38" s="9">
        <v>1363000</v>
      </c>
      <c r="D38" s="13" t="s">
        <v>220</v>
      </c>
      <c r="E38" s="13" t="s">
        <v>220</v>
      </c>
      <c r="F38" s="13" t="s">
        <v>220</v>
      </c>
      <c r="G38" s="13" t="s">
        <v>220</v>
      </c>
      <c r="H38" s="13" t="s">
        <v>220</v>
      </c>
      <c r="I38" s="13" t="s">
        <v>220</v>
      </c>
      <c r="J38" s="13" t="s">
        <v>191</v>
      </c>
      <c r="K38" s="13" t="s">
        <v>220</v>
      </c>
      <c r="L38" s="9">
        <v>1322000</v>
      </c>
      <c r="M38" s="9">
        <v>10000</v>
      </c>
      <c r="N38" s="9">
        <v>29000</v>
      </c>
      <c r="AC38" s="131" t="s">
        <v>365</v>
      </c>
    </row>
    <row r="39" spans="1:30" ht="12.45" customHeight="1">
      <c r="A39" s="112" t="s">
        <v>176</v>
      </c>
      <c r="B39" s="110">
        <v>1626000</v>
      </c>
      <c r="C39" s="21">
        <v>1227000</v>
      </c>
      <c r="D39" s="40" t="s">
        <v>220</v>
      </c>
      <c r="E39" s="40" t="s">
        <v>220</v>
      </c>
      <c r="F39" s="40" t="s">
        <v>220</v>
      </c>
      <c r="G39" s="40" t="s">
        <v>220</v>
      </c>
      <c r="H39" s="40" t="s">
        <v>220</v>
      </c>
      <c r="I39" s="40" t="s">
        <v>220</v>
      </c>
      <c r="J39" s="21">
        <v>4000</v>
      </c>
      <c r="K39" s="40" t="s">
        <v>220</v>
      </c>
      <c r="L39" s="21">
        <v>38000</v>
      </c>
      <c r="M39" s="21">
        <v>1148000</v>
      </c>
      <c r="N39" s="21">
        <v>34000</v>
      </c>
      <c r="AC39" s="131" t="s">
        <v>366</v>
      </c>
    </row>
    <row r="40" spans="1:30" ht="11.25" customHeight="1">
      <c r="A40" s="344" t="s">
        <v>224</v>
      </c>
      <c r="B40" s="344"/>
      <c r="C40" s="344"/>
      <c r="D40" s="344"/>
      <c r="E40" s="344"/>
      <c r="F40" s="344"/>
      <c r="G40" s="344"/>
      <c r="H40" s="344"/>
      <c r="I40" s="344"/>
      <c r="J40" s="344"/>
      <c r="K40" s="344"/>
      <c r="L40" s="344"/>
      <c r="M40" s="344"/>
      <c r="N40" s="344"/>
      <c r="O40" s="344"/>
      <c r="AC40" s="131" t="s">
        <v>367</v>
      </c>
    </row>
    <row r="41" spans="1:30" ht="70.2" customHeight="1">
      <c r="A41" s="321" t="s">
        <v>233</v>
      </c>
      <c r="B41" s="321"/>
      <c r="C41" s="321"/>
      <c r="D41" s="321"/>
      <c r="E41" s="321"/>
      <c r="F41" s="321"/>
      <c r="G41" s="321"/>
      <c r="H41" s="321"/>
      <c r="I41" s="321"/>
      <c r="J41" s="321"/>
      <c r="K41" s="321"/>
      <c r="L41" s="321"/>
      <c r="M41" s="321"/>
      <c r="N41" s="321"/>
      <c r="O41" s="321"/>
      <c r="AC41" s="131" t="s">
        <v>368</v>
      </c>
    </row>
    <row r="42" spans="1:30">
      <c r="AC42" s="129" t="s">
        <v>175</v>
      </c>
      <c r="AD42" t="s">
        <v>529</v>
      </c>
    </row>
    <row r="43" spans="1:30">
      <c r="B43" s="102"/>
      <c r="AC43" s="130" t="s">
        <v>369</v>
      </c>
      <c r="AD43" t="s">
        <v>528</v>
      </c>
    </row>
    <row r="44" spans="1:30">
      <c r="AC44" s="130" t="s">
        <v>370</v>
      </c>
    </row>
    <row r="45" spans="1:30">
      <c r="AC45" s="130" t="s">
        <v>371</v>
      </c>
    </row>
    <row r="46" spans="1:30" ht="24">
      <c r="AC46" s="130" t="s">
        <v>372</v>
      </c>
    </row>
    <row r="47" spans="1:30">
      <c r="AC47" s="130" t="s">
        <v>373</v>
      </c>
    </row>
    <row r="48" spans="1:30">
      <c r="AC48" s="129" t="s">
        <v>176</v>
      </c>
      <c r="AD48" t="s">
        <v>528</v>
      </c>
    </row>
    <row r="49" spans="29:29">
      <c r="AC49" s="130" t="s">
        <v>374</v>
      </c>
    </row>
    <row r="50" spans="29:29">
      <c r="AC50" s="130" t="s">
        <v>406</v>
      </c>
    </row>
    <row r="51" spans="29:29">
      <c r="AC51" s="130" t="s">
        <v>376</v>
      </c>
    </row>
    <row r="52" spans="29:29">
      <c r="AC52" s="130" t="s">
        <v>377</v>
      </c>
    </row>
    <row r="53" spans="29:29" ht="24">
      <c r="AC53" s="130" t="s">
        <v>378</v>
      </c>
    </row>
    <row r="54" spans="29:29">
      <c r="AC54" s="130" t="s">
        <v>379</v>
      </c>
    </row>
    <row r="55" spans="29:29" ht="24">
      <c r="AC55" s="130" t="s">
        <v>380</v>
      </c>
    </row>
    <row r="56" spans="29:29">
      <c r="AC56" s="130" t="s">
        <v>381</v>
      </c>
    </row>
    <row r="57" spans="29:29">
      <c r="AC57" s="125" t="s">
        <v>218</v>
      </c>
    </row>
    <row r="58" spans="29:29">
      <c r="AC58" s="120" t="s">
        <v>174</v>
      </c>
    </row>
    <row r="59" spans="29:29" ht="24">
      <c r="AC59" s="121" t="s">
        <v>227</v>
      </c>
    </row>
    <row r="60" spans="29:29" ht="24">
      <c r="AC60" s="122" t="s">
        <v>343</v>
      </c>
    </row>
    <row r="61" spans="29:29" ht="24">
      <c r="AC61" s="122" t="s">
        <v>344</v>
      </c>
    </row>
    <row r="62" spans="29:29">
      <c r="AC62" s="185" t="s">
        <v>345</v>
      </c>
    </row>
    <row r="63" spans="29:29" ht="24">
      <c r="AC63" s="122" t="s">
        <v>346</v>
      </c>
    </row>
    <row r="64" spans="29:29" ht="24">
      <c r="AC64" s="121" t="s">
        <v>228</v>
      </c>
    </row>
    <row r="65" spans="29:29" ht="24">
      <c r="AC65" s="122" t="s">
        <v>347</v>
      </c>
    </row>
    <row r="66" spans="29:29">
      <c r="AC66" s="122" t="s">
        <v>348</v>
      </c>
    </row>
    <row r="67" spans="29:29" ht="24">
      <c r="AC67" s="122" t="s">
        <v>349</v>
      </c>
    </row>
    <row r="68" spans="29:29">
      <c r="AC68" s="185" t="s">
        <v>229</v>
      </c>
    </row>
    <row r="69" spans="29:29">
      <c r="AC69" s="122" t="s">
        <v>350</v>
      </c>
    </row>
    <row r="70" spans="29:29" ht="24">
      <c r="AC70" s="122" t="s">
        <v>351</v>
      </c>
    </row>
    <row r="71" spans="29:29">
      <c r="AC71" s="122" t="s">
        <v>352</v>
      </c>
    </row>
    <row r="72" spans="29:29" ht="36">
      <c r="AC72" s="122" t="s">
        <v>353</v>
      </c>
    </row>
    <row r="73" spans="29:29" ht="24">
      <c r="AC73" s="122" t="s">
        <v>354</v>
      </c>
    </row>
    <row r="74" spans="29:29">
      <c r="AC74" s="121" t="s">
        <v>230</v>
      </c>
    </row>
    <row r="75" spans="29:29">
      <c r="AC75" s="122" t="s">
        <v>355</v>
      </c>
    </row>
    <row r="76" spans="29:29">
      <c r="AC76" s="122" t="s">
        <v>356</v>
      </c>
    </row>
    <row r="77" spans="29:29">
      <c r="AC77" s="122" t="s">
        <v>357</v>
      </c>
    </row>
    <row r="78" spans="29:29">
      <c r="AC78" s="122" t="s">
        <v>358</v>
      </c>
    </row>
    <row r="79" spans="29:29" ht="24">
      <c r="AC79" s="122" t="s">
        <v>359</v>
      </c>
    </row>
    <row r="80" spans="29:29" ht="24">
      <c r="AC80" s="122" t="s">
        <v>360</v>
      </c>
    </row>
    <row r="81" spans="29:29">
      <c r="AC81" s="121" t="s">
        <v>231</v>
      </c>
    </row>
    <row r="82" spans="29:29" ht="24">
      <c r="AC82" s="122" t="s">
        <v>361</v>
      </c>
    </row>
    <row r="83" spans="29:29">
      <c r="AC83" s="122" t="s">
        <v>362</v>
      </c>
    </row>
    <row r="84" spans="29:29" ht="24">
      <c r="AC84" s="122" t="s">
        <v>363</v>
      </c>
    </row>
    <row r="85" spans="29:29" ht="24">
      <c r="AC85" s="122" t="s">
        <v>364</v>
      </c>
    </row>
    <row r="86" spans="29:29">
      <c r="AC86" s="122" t="s">
        <v>365</v>
      </c>
    </row>
    <row r="87" spans="29:29">
      <c r="AC87" s="122" t="s">
        <v>366</v>
      </c>
    </row>
    <row r="88" spans="29:29">
      <c r="AC88" s="122" t="s">
        <v>367</v>
      </c>
    </row>
    <row r="89" spans="29:29" ht="24">
      <c r="AC89" s="122" t="s">
        <v>368</v>
      </c>
    </row>
    <row r="90" spans="29:29">
      <c r="AC90" s="120" t="s">
        <v>175</v>
      </c>
    </row>
    <row r="91" spans="29:29">
      <c r="AC91" s="121" t="s">
        <v>369</v>
      </c>
    </row>
    <row r="92" spans="29:29">
      <c r="AC92" s="121" t="s">
        <v>370</v>
      </c>
    </row>
    <row r="93" spans="29:29">
      <c r="AC93" s="121" t="s">
        <v>371</v>
      </c>
    </row>
    <row r="94" spans="29:29" ht="24">
      <c r="AC94" s="121" t="s">
        <v>372</v>
      </c>
    </row>
    <row r="95" spans="29:29">
      <c r="AC95" s="123" t="s">
        <v>373</v>
      </c>
    </row>
    <row r="96" spans="29:29">
      <c r="AC96" s="120" t="s">
        <v>176</v>
      </c>
    </row>
    <row r="97" spans="29:29">
      <c r="AC97" s="121" t="s">
        <v>374</v>
      </c>
    </row>
    <row r="98" spans="29:29" ht="24">
      <c r="AC98" s="121" t="s">
        <v>406</v>
      </c>
    </row>
    <row r="99" spans="29:29">
      <c r="AC99" s="121" t="s">
        <v>376</v>
      </c>
    </row>
    <row r="100" spans="29:29" ht="24">
      <c r="AC100" s="121" t="s">
        <v>377</v>
      </c>
    </row>
    <row r="101" spans="29:29" ht="24">
      <c r="AC101" s="121" t="s">
        <v>378</v>
      </c>
    </row>
    <row r="102" spans="29:29" ht="24">
      <c r="AC102" s="121" t="s">
        <v>379</v>
      </c>
    </row>
    <row r="103" spans="29:29" ht="24">
      <c r="AC103" s="121" t="s">
        <v>380</v>
      </c>
    </row>
    <row r="104" spans="29:29">
      <c r="AC104" s="121" t="s">
        <v>381</v>
      </c>
    </row>
    <row r="105" spans="29:29">
      <c r="AC105" s="114" t="s">
        <v>219</v>
      </c>
    </row>
    <row r="106" spans="29:29">
      <c r="AC106" s="115" t="s">
        <v>174</v>
      </c>
    </row>
    <row r="107" spans="29:29" ht="24">
      <c r="AC107" s="116" t="s">
        <v>227</v>
      </c>
    </row>
    <row r="108" spans="29:29" ht="24">
      <c r="AC108" s="117" t="s">
        <v>343</v>
      </c>
    </row>
    <row r="109" spans="29:29" ht="24">
      <c r="AC109" s="117" t="s">
        <v>344</v>
      </c>
    </row>
    <row r="110" spans="29:29">
      <c r="AC110" s="186" t="s">
        <v>345</v>
      </c>
    </row>
    <row r="111" spans="29:29" ht="24">
      <c r="AC111" s="117" t="s">
        <v>346</v>
      </c>
    </row>
    <row r="112" spans="29:29" ht="24">
      <c r="AC112" s="116" t="s">
        <v>228</v>
      </c>
    </row>
    <row r="113" spans="29:29" ht="24">
      <c r="AC113" s="117" t="s">
        <v>347</v>
      </c>
    </row>
    <row r="114" spans="29:29">
      <c r="AC114" s="117" t="s">
        <v>348</v>
      </c>
    </row>
    <row r="115" spans="29:29" ht="24">
      <c r="AC115" s="117" t="s">
        <v>349</v>
      </c>
    </row>
    <row r="116" spans="29:29">
      <c r="AC116" s="186" t="s">
        <v>229</v>
      </c>
    </row>
    <row r="117" spans="29:29">
      <c r="AC117" s="117" t="s">
        <v>350</v>
      </c>
    </row>
    <row r="118" spans="29:29" ht="24">
      <c r="AC118" s="117" t="s">
        <v>351</v>
      </c>
    </row>
    <row r="119" spans="29:29">
      <c r="AC119" s="117" t="s">
        <v>352</v>
      </c>
    </row>
    <row r="120" spans="29:29" ht="36">
      <c r="AC120" s="117" t="s">
        <v>353</v>
      </c>
    </row>
    <row r="121" spans="29:29" ht="24">
      <c r="AC121" s="117" t="s">
        <v>354</v>
      </c>
    </row>
    <row r="122" spans="29:29">
      <c r="AC122" s="116" t="s">
        <v>230</v>
      </c>
    </row>
    <row r="123" spans="29:29">
      <c r="AC123" s="117" t="s">
        <v>355</v>
      </c>
    </row>
    <row r="124" spans="29:29">
      <c r="AC124" s="117" t="s">
        <v>356</v>
      </c>
    </row>
    <row r="125" spans="29:29">
      <c r="AC125" s="117" t="s">
        <v>357</v>
      </c>
    </row>
    <row r="126" spans="29:29">
      <c r="AC126" s="117" t="s">
        <v>358</v>
      </c>
    </row>
    <row r="127" spans="29:29" ht="24">
      <c r="AC127" s="117" t="s">
        <v>359</v>
      </c>
    </row>
    <row r="128" spans="29:29" ht="24">
      <c r="AC128" s="117" t="s">
        <v>360</v>
      </c>
    </row>
    <row r="129" spans="29:29">
      <c r="AC129" s="116" t="s">
        <v>231</v>
      </c>
    </row>
    <row r="130" spans="29:29" ht="24">
      <c r="AC130" s="117" t="s">
        <v>361</v>
      </c>
    </row>
    <row r="131" spans="29:29">
      <c r="AC131" s="117" t="s">
        <v>362</v>
      </c>
    </row>
    <row r="132" spans="29:29" ht="24">
      <c r="AC132" s="117" t="s">
        <v>363</v>
      </c>
    </row>
    <row r="133" spans="29:29" ht="24">
      <c r="AC133" s="117" t="s">
        <v>364</v>
      </c>
    </row>
    <row r="134" spans="29:29">
      <c r="AC134" s="117" t="s">
        <v>365</v>
      </c>
    </row>
    <row r="135" spans="29:29">
      <c r="AC135" s="117" t="s">
        <v>366</v>
      </c>
    </row>
    <row r="136" spans="29:29">
      <c r="AC136" s="117" t="s">
        <v>367</v>
      </c>
    </row>
    <row r="137" spans="29:29" ht="24">
      <c r="AC137" s="117" t="s">
        <v>368</v>
      </c>
    </row>
    <row r="138" spans="29:29">
      <c r="AC138" s="115" t="s">
        <v>175</v>
      </c>
    </row>
    <row r="139" spans="29:29">
      <c r="AC139" s="116" t="s">
        <v>369</v>
      </c>
    </row>
    <row r="140" spans="29:29">
      <c r="AC140" s="116" t="s">
        <v>370</v>
      </c>
    </row>
    <row r="141" spans="29:29">
      <c r="AC141" s="116" t="s">
        <v>371</v>
      </c>
    </row>
    <row r="142" spans="29:29" ht="24">
      <c r="AC142" s="116" t="s">
        <v>372</v>
      </c>
    </row>
    <row r="143" spans="29:29">
      <c r="AC143" s="118" t="s">
        <v>373</v>
      </c>
    </row>
    <row r="144" spans="29:29">
      <c r="AC144" s="115" t="s">
        <v>176</v>
      </c>
    </row>
    <row r="145" spans="29:29">
      <c r="AC145" s="116" t="s">
        <v>374</v>
      </c>
    </row>
    <row r="146" spans="29:29" ht="24">
      <c r="AC146" s="116" t="s">
        <v>406</v>
      </c>
    </row>
    <row r="147" spans="29:29">
      <c r="AC147" s="116" t="s">
        <v>376</v>
      </c>
    </row>
    <row r="148" spans="29:29" ht="24">
      <c r="AC148" s="116" t="s">
        <v>377</v>
      </c>
    </row>
    <row r="149" spans="29:29" ht="24">
      <c r="AC149" s="116" t="s">
        <v>378</v>
      </c>
    </row>
    <row r="150" spans="29:29" ht="24">
      <c r="AC150" s="116" t="s">
        <v>379</v>
      </c>
    </row>
    <row r="151" spans="29:29" ht="24">
      <c r="AC151" s="116" t="s">
        <v>380</v>
      </c>
    </row>
    <row r="152" spans="29:29">
      <c r="AC152" s="116" t="s">
        <v>381</v>
      </c>
    </row>
    <row r="153" spans="29:29">
      <c r="AC153" s="135" t="s">
        <v>221</v>
      </c>
    </row>
    <row r="154" spans="29:29">
      <c r="AC154" s="138" t="s">
        <v>174</v>
      </c>
    </row>
    <row r="155" spans="29:29" ht="24">
      <c r="AC155" s="139" t="s">
        <v>227</v>
      </c>
    </row>
    <row r="156" spans="29:29" ht="24">
      <c r="AC156" s="140" t="s">
        <v>343</v>
      </c>
    </row>
    <row r="157" spans="29:29" ht="24">
      <c r="AC157" s="140" t="s">
        <v>344</v>
      </c>
    </row>
    <row r="158" spans="29:29">
      <c r="AC158" s="150" t="s">
        <v>345</v>
      </c>
    </row>
    <row r="159" spans="29:29" ht="24">
      <c r="AC159" s="140" t="s">
        <v>346</v>
      </c>
    </row>
    <row r="160" spans="29:29" ht="24">
      <c r="AC160" s="139" t="s">
        <v>228</v>
      </c>
    </row>
    <row r="161" spans="29:29" ht="24">
      <c r="AC161" s="140" t="s">
        <v>347</v>
      </c>
    </row>
    <row r="162" spans="29:29">
      <c r="AC162" s="140" t="s">
        <v>348</v>
      </c>
    </row>
    <row r="163" spans="29:29" ht="24">
      <c r="AC163" s="140" t="s">
        <v>349</v>
      </c>
    </row>
    <row r="164" spans="29:29">
      <c r="AC164" s="150" t="s">
        <v>229</v>
      </c>
    </row>
    <row r="165" spans="29:29">
      <c r="AC165" s="140" t="s">
        <v>350</v>
      </c>
    </row>
    <row r="166" spans="29:29" ht="24">
      <c r="AC166" s="140" t="s">
        <v>351</v>
      </c>
    </row>
    <row r="167" spans="29:29">
      <c r="AC167" s="140" t="s">
        <v>352</v>
      </c>
    </row>
    <row r="168" spans="29:29" ht="36">
      <c r="AC168" s="140" t="s">
        <v>353</v>
      </c>
    </row>
    <row r="169" spans="29:29" ht="24">
      <c r="AC169" s="140" t="s">
        <v>354</v>
      </c>
    </row>
    <row r="170" spans="29:29">
      <c r="AC170" s="139" t="s">
        <v>230</v>
      </c>
    </row>
    <row r="171" spans="29:29">
      <c r="AC171" s="140" t="s">
        <v>355</v>
      </c>
    </row>
    <row r="172" spans="29:29">
      <c r="AC172" s="140" t="s">
        <v>356</v>
      </c>
    </row>
    <row r="173" spans="29:29">
      <c r="AC173" s="140" t="s">
        <v>357</v>
      </c>
    </row>
    <row r="174" spans="29:29">
      <c r="AC174" s="140" t="s">
        <v>358</v>
      </c>
    </row>
    <row r="175" spans="29:29" ht="24">
      <c r="AC175" s="140" t="s">
        <v>359</v>
      </c>
    </row>
    <row r="176" spans="29:29" ht="24">
      <c r="AC176" s="140" t="s">
        <v>360</v>
      </c>
    </row>
    <row r="177" spans="29:29">
      <c r="AC177" s="139" t="s">
        <v>231</v>
      </c>
    </row>
    <row r="178" spans="29:29" ht="24">
      <c r="AC178" s="140" t="s">
        <v>361</v>
      </c>
    </row>
    <row r="179" spans="29:29">
      <c r="AC179" s="140" t="s">
        <v>362</v>
      </c>
    </row>
    <row r="180" spans="29:29" ht="24">
      <c r="AC180" s="140" t="s">
        <v>363</v>
      </c>
    </row>
    <row r="181" spans="29:29" ht="24">
      <c r="AC181" s="140" t="s">
        <v>364</v>
      </c>
    </row>
    <row r="182" spans="29:29">
      <c r="AC182" s="140" t="s">
        <v>365</v>
      </c>
    </row>
    <row r="183" spans="29:29">
      <c r="AC183" s="140" t="s">
        <v>366</v>
      </c>
    </row>
    <row r="184" spans="29:29">
      <c r="AC184" s="140" t="s">
        <v>367</v>
      </c>
    </row>
    <row r="185" spans="29:29" ht="24">
      <c r="AC185" s="140" t="s">
        <v>368</v>
      </c>
    </row>
    <row r="186" spans="29:29">
      <c r="AC186" s="138" t="s">
        <v>175</v>
      </c>
    </row>
    <row r="187" spans="29:29">
      <c r="AC187" s="139" t="s">
        <v>369</v>
      </c>
    </row>
    <row r="188" spans="29:29">
      <c r="AC188" s="139" t="s">
        <v>370</v>
      </c>
    </row>
    <row r="189" spans="29:29">
      <c r="AC189" s="139" t="s">
        <v>371</v>
      </c>
    </row>
    <row r="190" spans="29:29" ht="24">
      <c r="AC190" s="139" t="s">
        <v>372</v>
      </c>
    </row>
    <row r="191" spans="29:29">
      <c r="AC191" s="139" t="s">
        <v>373</v>
      </c>
    </row>
    <row r="192" spans="29:29">
      <c r="AC192" s="138" t="s">
        <v>176</v>
      </c>
    </row>
    <row r="193" spans="29:29">
      <c r="AC193" s="139" t="s">
        <v>374</v>
      </c>
    </row>
    <row r="194" spans="29:29" ht="24">
      <c r="AC194" s="139" t="s">
        <v>406</v>
      </c>
    </row>
    <row r="195" spans="29:29">
      <c r="AC195" s="139" t="s">
        <v>376</v>
      </c>
    </row>
    <row r="196" spans="29:29" ht="24">
      <c r="AC196" s="139" t="s">
        <v>377</v>
      </c>
    </row>
    <row r="197" spans="29:29" ht="24">
      <c r="AC197" s="139" t="s">
        <v>378</v>
      </c>
    </row>
    <row r="198" spans="29:29" ht="24">
      <c r="AC198" s="139" t="s">
        <v>379</v>
      </c>
    </row>
    <row r="199" spans="29:29" ht="24">
      <c r="AC199" s="139" t="s">
        <v>380</v>
      </c>
    </row>
    <row r="200" spans="29:29">
      <c r="AC200" s="139" t="s">
        <v>381</v>
      </c>
    </row>
    <row r="201" spans="29:29">
      <c r="AC201" s="111" t="s">
        <v>223</v>
      </c>
    </row>
    <row r="202" spans="29:29">
      <c r="AC202" s="112" t="s">
        <v>174</v>
      </c>
    </row>
    <row r="203" spans="29:29">
      <c r="AC203" s="112" t="s">
        <v>175</v>
      </c>
    </row>
    <row r="204" spans="29:29">
      <c r="AC204" s="112" t="s">
        <v>176</v>
      </c>
    </row>
    <row r="205" spans="29:29" ht="72">
      <c r="AC205" s="243" t="s">
        <v>224</v>
      </c>
    </row>
    <row r="206" spans="29:29">
      <c r="AC206" s="338" t="s">
        <v>407</v>
      </c>
    </row>
    <row r="207" spans="29:29">
      <c r="AC207" s="338"/>
    </row>
    <row r="208" spans="29:29">
      <c r="AC208" s="338"/>
    </row>
    <row r="209" spans="29:29">
      <c r="AC209" s="338"/>
    </row>
    <row r="210" spans="29:29">
      <c r="AC210" s="338"/>
    </row>
    <row r="211" spans="29:29">
      <c r="AC211" s="338"/>
    </row>
    <row r="212" spans="29:29">
      <c r="AC212" s="338"/>
    </row>
    <row r="213" spans="29:29">
      <c r="AC213" s="338"/>
    </row>
    <row r="214" spans="29:29">
      <c r="AC214" s="338"/>
    </row>
    <row r="215" spans="29:29">
      <c r="AC215" s="338"/>
    </row>
  </sheetData>
  <sortState xmlns:xlrd2="http://schemas.microsoft.com/office/spreadsheetml/2017/richdata2" ref="T44:T74">
    <sortCondition descending="1" ref="T44:T74"/>
  </sortState>
  <mergeCells count="23">
    <mergeCell ref="Z3:Z4"/>
    <mergeCell ref="AA3:AA4"/>
    <mergeCell ref="U3:U4"/>
    <mergeCell ref="V3:V4"/>
    <mergeCell ref="W3:W4"/>
    <mergeCell ref="X3:X4"/>
    <mergeCell ref="Y3:Y4"/>
    <mergeCell ref="AC7:AC8"/>
    <mergeCell ref="AC206:AC215"/>
    <mergeCell ref="A40:O40"/>
    <mergeCell ref="A41:O41"/>
    <mergeCell ref="A1:O1"/>
    <mergeCell ref="A3:A4"/>
    <mergeCell ref="B3:B4"/>
    <mergeCell ref="C3:C4"/>
    <mergeCell ref="D3:N3"/>
    <mergeCell ref="O3:O4"/>
    <mergeCell ref="R3:R4"/>
    <mergeCell ref="S3:S4"/>
    <mergeCell ref="P3:P4"/>
    <mergeCell ref="Q3:Q4"/>
    <mergeCell ref="T3:T4"/>
    <mergeCell ref="AC3:AC4"/>
  </mergeCells>
  <conditionalFormatting sqref="O5:O35">
    <cfRule type="colorScale" priority="9">
      <colorScale>
        <cfvo type="min"/>
        <cfvo type="percentile" val="50"/>
        <cfvo type="max"/>
        <color rgb="FFF8696B"/>
        <color rgb="FFFFEB84"/>
        <color rgb="FF63BE7B"/>
      </colorScale>
    </cfRule>
  </conditionalFormatting>
  <conditionalFormatting sqref="P5:P11">
    <cfRule type="colorScale" priority="6">
      <colorScale>
        <cfvo type="min"/>
        <cfvo type="percentile" val="50"/>
        <cfvo type="max"/>
        <color rgb="FFF8696B"/>
        <color rgb="FFFFEB84"/>
        <color rgb="FF63BE7B"/>
      </colorScale>
    </cfRule>
  </conditionalFormatting>
  <conditionalFormatting sqref="P5:P35">
    <cfRule type="colorScale" priority="5">
      <colorScale>
        <cfvo type="min"/>
        <cfvo type="percentile" val="50"/>
        <cfvo type="max"/>
        <color rgb="FFF8696B"/>
        <color rgb="FFFFEB84"/>
        <color rgb="FF63BE7B"/>
      </colorScale>
    </cfRule>
  </conditionalFormatting>
  <conditionalFormatting sqref="P12:P35">
    <cfRule type="colorScale" priority="8">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2CDD-712B-482E-823F-56970816AD75}">
  <dimension ref="A1:P57"/>
  <sheetViews>
    <sheetView workbookViewId="0">
      <pane ySplit="5" topLeftCell="A6" activePane="bottomLeft" state="frozen"/>
      <selection pane="bottomLeft" activeCell="A2" sqref="A2:P2"/>
    </sheetView>
  </sheetViews>
  <sheetFormatPr defaultRowHeight="13.2"/>
  <sheetData>
    <row r="1" spans="1:16">
      <c r="A1" s="206" t="s">
        <v>530</v>
      </c>
      <c r="B1" s="207"/>
      <c r="C1" s="207"/>
      <c r="D1" s="207"/>
      <c r="E1" s="207"/>
      <c r="F1" s="207"/>
      <c r="G1" s="207"/>
      <c r="H1" s="207"/>
      <c r="I1" s="207"/>
      <c r="J1" s="207"/>
      <c r="K1" s="207"/>
      <c r="L1" s="207"/>
      <c r="M1" s="207"/>
      <c r="N1" s="207"/>
      <c r="O1" s="207"/>
      <c r="P1" s="207"/>
    </row>
    <row r="2" spans="1:16">
      <c r="A2" s="412" t="s">
        <v>531</v>
      </c>
      <c r="B2" s="413"/>
      <c r="C2" s="413"/>
      <c r="D2" s="413"/>
      <c r="E2" s="413"/>
      <c r="F2" s="413"/>
      <c r="G2" s="413"/>
      <c r="H2" s="413"/>
      <c r="I2" s="413"/>
      <c r="J2" s="413"/>
      <c r="K2" s="413"/>
      <c r="L2" s="413"/>
      <c r="M2" s="413"/>
      <c r="N2" s="413"/>
      <c r="O2" s="413"/>
      <c r="P2" s="413"/>
    </row>
    <row r="3" spans="1:16">
      <c r="A3" s="226" t="s">
        <v>532</v>
      </c>
      <c r="B3" s="207"/>
      <c r="C3" s="207"/>
      <c r="D3" s="207"/>
      <c r="E3" s="207"/>
      <c r="F3" s="207"/>
      <c r="G3" s="207"/>
      <c r="H3" s="207"/>
      <c r="I3" s="207"/>
      <c r="J3" s="207"/>
      <c r="K3" s="207"/>
      <c r="L3" s="207"/>
      <c r="M3" s="207"/>
      <c r="N3" s="207"/>
      <c r="O3" s="207"/>
      <c r="P3" s="207"/>
    </row>
    <row r="4" spans="1:16">
      <c r="A4" s="414" t="s">
        <v>533</v>
      </c>
      <c r="B4" s="415" t="s">
        <v>534</v>
      </c>
      <c r="C4" s="415"/>
      <c r="D4" s="415"/>
      <c r="E4" s="416" t="s">
        <v>535</v>
      </c>
      <c r="F4" s="416"/>
      <c r="G4" s="416"/>
      <c r="H4" s="417" t="s">
        <v>536</v>
      </c>
      <c r="I4" s="417"/>
      <c r="J4" s="417"/>
      <c r="K4" s="418" t="s">
        <v>537</v>
      </c>
      <c r="L4" s="418"/>
      <c r="M4" s="418"/>
      <c r="N4" s="419" t="s">
        <v>538</v>
      </c>
      <c r="O4" s="419"/>
      <c r="P4" s="419"/>
    </row>
    <row r="5" spans="1:16">
      <c r="A5" s="414"/>
      <c r="B5" s="216" t="s">
        <v>539</v>
      </c>
      <c r="C5" s="208" t="s">
        <v>540</v>
      </c>
      <c r="D5" s="208" t="s">
        <v>541</v>
      </c>
      <c r="E5" s="218" t="s">
        <v>539</v>
      </c>
      <c r="F5" s="208" t="s">
        <v>540</v>
      </c>
      <c r="G5" s="208" t="s">
        <v>541</v>
      </c>
      <c r="H5" s="220" t="s">
        <v>539</v>
      </c>
      <c r="I5" s="208" t="s">
        <v>540</v>
      </c>
      <c r="J5" s="208" t="s">
        <v>541</v>
      </c>
      <c r="K5" s="222" t="s">
        <v>539</v>
      </c>
      <c r="L5" s="208" t="s">
        <v>540</v>
      </c>
      <c r="M5" s="208" t="s">
        <v>541</v>
      </c>
      <c r="N5" s="224" t="s">
        <v>539</v>
      </c>
      <c r="O5" s="208" t="s">
        <v>540</v>
      </c>
      <c r="P5" s="208" t="s">
        <v>541</v>
      </c>
    </row>
    <row r="6" spans="1:16" ht="30.6">
      <c r="A6" s="209" t="s">
        <v>542</v>
      </c>
      <c r="B6" s="217">
        <v>77000</v>
      </c>
      <c r="C6" s="210">
        <v>66000</v>
      </c>
      <c r="D6" s="210">
        <v>90000</v>
      </c>
      <c r="E6" s="219">
        <v>70000</v>
      </c>
      <c r="F6" s="210">
        <v>60000</v>
      </c>
      <c r="G6" s="210">
        <v>80000</v>
      </c>
      <c r="H6" s="221">
        <v>84000</v>
      </c>
      <c r="I6" s="210">
        <v>73000</v>
      </c>
      <c r="J6" s="210">
        <v>100000</v>
      </c>
      <c r="K6" s="223">
        <v>100000</v>
      </c>
      <c r="L6" s="210">
        <v>92000</v>
      </c>
      <c r="M6" s="210">
        <v>113000</v>
      </c>
      <c r="N6" s="225">
        <v>135000</v>
      </c>
      <c r="O6" s="210">
        <v>110000</v>
      </c>
      <c r="P6" s="210">
        <v>150000</v>
      </c>
    </row>
    <row r="7" spans="1:16" ht="20.399999999999999">
      <c r="A7" s="211" t="s">
        <v>543</v>
      </c>
      <c r="B7" s="217">
        <v>55000</v>
      </c>
      <c r="C7" s="210">
        <v>51000</v>
      </c>
      <c r="D7" s="210">
        <v>60000</v>
      </c>
      <c r="E7" s="219">
        <v>52000</v>
      </c>
      <c r="F7" s="210">
        <v>48000</v>
      </c>
      <c r="G7" s="210">
        <v>60000</v>
      </c>
      <c r="H7" s="221">
        <v>60000</v>
      </c>
      <c r="I7" s="210">
        <v>58000</v>
      </c>
      <c r="J7" s="210">
        <v>69000</v>
      </c>
      <c r="K7" s="223">
        <v>75000</v>
      </c>
      <c r="L7" s="210">
        <v>73000</v>
      </c>
      <c r="M7" s="210">
        <v>79000</v>
      </c>
      <c r="N7" s="225">
        <v>64000</v>
      </c>
      <c r="O7" s="210">
        <v>58000</v>
      </c>
      <c r="P7" s="210">
        <v>81000</v>
      </c>
    </row>
    <row r="8" spans="1:16">
      <c r="A8" s="211" t="s">
        <v>544</v>
      </c>
      <c r="B8" s="217">
        <v>75000</v>
      </c>
      <c r="C8" s="210">
        <v>66000</v>
      </c>
      <c r="D8" s="210">
        <v>85000</v>
      </c>
      <c r="E8" s="219">
        <v>69000</v>
      </c>
      <c r="F8" s="210">
        <v>60000</v>
      </c>
      <c r="G8" s="210">
        <v>79000</v>
      </c>
      <c r="H8" s="221">
        <v>79000</v>
      </c>
      <c r="I8" s="210">
        <v>70000</v>
      </c>
      <c r="J8" s="210">
        <v>92000</v>
      </c>
      <c r="K8" s="223">
        <v>90000</v>
      </c>
      <c r="L8" s="210">
        <v>81000</v>
      </c>
      <c r="M8" s="210">
        <v>100000</v>
      </c>
      <c r="N8" s="225">
        <v>119000</v>
      </c>
      <c r="O8" s="210">
        <v>115000</v>
      </c>
      <c r="P8" s="210">
        <v>131000</v>
      </c>
    </row>
    <row r="9" spans="1:16">
      <c r="A9" s="211" t="s">
        <v>545</v>
      </c>
      <c r="B9" s="217">
        <v>85000</v>
      </c>
      <c r="C9" s="210">
        <v>75000</v>
      </c>
      <c r="D9" s="210">
        <v>100000</v>
      </c>
      <c r="E9" s="219">
        <v>80000</v>
      </c>
      <c r="F9" s="210">
        <v>65000</v>
      </c>
      <c r="G9" s="210">
        <v>95000</v>
      </c>
      <c r="H9" s="221">
        <v>88000</v>
      </c>
      <c r="I9" s="210">
        <v>76000</v>
      </c>
      <c r="J9" s="210">
        <v>105000</v>
      </c>
      <c r="K9" s="223">
        <v>106000</v>
      </c>
      <c r="L9" s="210">
        <v>96000</v>
      </c>
      <c r="M9" s="210">
        <v>118000</v>
      </c>
      <c r="N9" s="225">
        <v>144000</v>
      </c>
      <c r="O9" s="210">
        <v>117000</v>
      </c>
      <c r="P9" s="210">
        <v>185000</v>
      </c>
    </row>
    <row r="10" spans="1:16">
      <c r="A10" s="211" t="s">
        <v>546</v>
      </c>
      <c r="B10" s="217">
        <v>89000</v>
      </c>
      <c r="C10" s="210">
        <v>75000</v>
      </c>
      <c r="D10" s="210">
        <v>101000</v>
      </c>
      <c r="E10" s="219">
        <v>80000</v>
      </c>
      <c r="F10" s="210">
        <v>66000</v>
      </c>
      <c r="G10" s="210">
        <v>94000</v>
      </c>
      <c r="H10" s="221">
        <v>94000</v>
      </c>
      <c r="I10" s="210">
        <v>83000</v>
      </c>
      <c r="J10" s="210">
        <v>115000</v>
      </c>
      <c r="K10" s="223">
        <v>113000</v>
      </c>
      <c r="L10" s="210">
        <v>100000</v>
      </c>
      <c r="M10" s="210">
        <v>120000</v>
      </c>
      <c r="N10" s="225">
        <v>165000</v>
      </c>
      <c r="O10" s="210">
        <v>139000</v>
      </c>
      <c r="P10" s="210">
        <v>174000</v>
      </c>
    </row>
    <row r="11" spans="1:16" ht="30.6">
      <c r="A11" s="211" t="s">
        <v>547</v>
      </c>
      <c r="B11" s="217">
        <v>99000</v>
      </c>
      <c r="C11" s="210">
        <v>86000</v>
      </c>
      <c r="D11" s="210">
        <v>102000</v>
      </c>
      <c r="E11" s="219">
        <v>93000</v>
      </c>
      <c r="F11" s="210">
        <v>81000</v>
      </c>
      <c r="G11" s="210">
        <v>97000</v>
      </c>
      <c r="H11" s="221">
        <v>106000</v>
      </c>
      <c r="I11" s="210">
        <v>90000</v>
      </c>
      <c r="J11" s="210">
        <v>114000</v>
      </c>
      <c r="K11" s="223">
        <v>107000</v>
      </c>
      <c r="L11" s="210">
        <v>92000</v>
      </c>
      <c r="M11" s="210">
        <v>115000</v>
      </c>
      <c r="N11" s="225">
        <v>90000</v>
      </c>
      <c r="O11" s="210">
        <v>84000</v>
      </c>
      <c r="P11" s="210">
        <v>98000</v>
      </c>
    </row>
    <row r="12" spans="1:16" ht="20.399999999999999">
      <c r="A12" s="212" t="s">
        <v>543</v>
      </c>
      <c r="B12" s="217">
        <v>73000</v>
      </c>
      <c r="C12" s="210">
        <v>68000</v>
      </c>
      <c r="D12" s="210">
        <v>75000</v>
      </c>
      <c r="E12" s="219">
        <v>72000</v>
      </c>
      <c r="F12" s="210">
        <v>66000</v>
      </c>
      <c r="G12" s="210">
        <v>73000</v>
      </c>
      <c r="H12" s="221">
        <v>80000</v>
      </c>
      <c r="I12" s="210">
        <v>72000</v>
      </c>
      <c r="J12" s="210">
        <v>82000</v>
      </c>
      <c r="K12" s="223">
        <v>64000</v>
      </c>
      <c r="L12" s="210">
        <v>56000</v>
      </c>
      <c r="M12" s="210">
        <v>70000</v>
      </c>
      <c r="N12" s="225" t="s">
        <v>548</v>
      </c>
      <c r="O12" s="210" t="s">
        <v>549</v>
      </c>
      <c r="P12" s="210" t="s">
        <v>548</v>
      </c>
    </row>
    <row r="13" spans="1:16">
      <c r="A13" s="212" t="s">
        <v>544</v>
      </c>
      <c r="B13" s="217">
        <v>96000</v>
      </c>
      <c r="C13" s="210">
        <v>86000</v>
      </c>
      <c r="D13" s="210">
        <v>100000</v>
      </c>
      <c r="E13" s="219">
        <v>93000</v>
      </c>
      <c r="F13" s="210">
        <v>84000</v>
      </c>
      <c r="G13" s="210">
        <v>95000</v>
      </c>
      <c r="H13" s="221">
        <v>102000</v>
      </c>
      <c r="I13" s="210">
        <v>94000</v>
      </c>
      <c r="J13" s="210">
        <v>110000</v>
      </c>
      <c r="K13" s="223">
        <v>90000</v>
      </c>
      <c r="L13" s="210">
        <v>80000</v>
      </c>
      <c r="M13" s="210">
        <v>100000</v>
      </c>
      <c r="N13" s="225">
        <v>83000</v>
      </c>
      <c r="O13" s="210">
        <v>77000</v>
      </c>
      <c r="P13" s="210">
        <v>87000</v>
      </c>
    </row>
    <row r="14" spans="1:16">
      <c r="A14" s="212" t="s">
        <v>545</v>
      </c>
      <c r="B14" s="217">
        <v>110000</v>
      </c>
      <c r="C14" s="210">
        <v>95000</v>
      </c>
      <c r="D14" s="210">
        <v>115000</v>
      </c>
      <c r="E14" s="219">
        <v>107000</v>
      </c>
      <c r="F14" s="210">
        <v>92000</v>
      </c>
      <c r="G14" s="210">
        <v>110000</v>
      </c>
      <c r="H14" s="221">
        <v>115000</v>
      </c>
      <c r="I14" s="210">
        <v>92000</v>
      </c>
      <c r="J14" s="210">
        <v>125000</v>
      </c>
      <c r="K14" s="223">
        <v>110000</v>
      </c>
      <c r="L14" s="210">
        <v>100000</v>
      </c>
      <c r="M14" s="210">
        <v>116000</v>
      </c>
      <c r="N14" s="225">
        <v>132000</v>
      </c>
      <c r="O14" s="210">
        <v>98000</v>
      </c>
      <c r="P14" s="210">
        <v>206000</v>
      </c>
    </row>
    <row r="15" spans="1:16">
      <c r="A15" s="212" t="s">
        <v>546</v>
      </c>
      <c r="B15" s="217">
        <v>115000</v>
      </c>
      <c r="C15" s="210">
        <v>100000</v>
      </c>
      <c r="D15" s="210">
        <v>120000</v>
      </c>
      <c r="E15" s="219">
        <v>110000</v>
      </c>
      <c r="F15" s="210">
        <v>92000</v>
      </c>
      <c r="G15" s="210">
        <v>113000</v>
      </c>
      <c r="H15" s="221">
        <v>120000</v>
      </c>
      <c r="I15" s="210">
        <v>107000</v>
      </c>
      <c r="J15" s="210">
        <v>126000</v>
      </c>
      <c r="K15" s="223">
        <v>125000</v>
      </c>
      <c r="L15" s="210">
        <v>111000</v>
      </c>
      <c r="M15" s="210">
        <v>130000</v>
      </c>
      <c r="N15" s="225">
        <v>100000</v>
      </c>
      <c r="O15" s="210">
        <v>100000</v>
      </c>
      <c r="P15" s="210">
        <v>100000</v>
      </c>
    </row>
    <row r="16" spans="1:16" ht="71.400000000000006">
      <c r="A16" s="212" t="s">
        <v>550</v>
      </c>
      <c r="B16" s="217">
        <v>72000</v>
      </c>
      <c r="C16" s="210">
        <v>72000</v>
      </c>
      <c r="D16" s="210">
        <v>71000</v>
      </c>
      <c r="E16" s="219">
        <v>55000</v>
      </c>
      <c r="F16" s="210">
        <v>59000</v>
      </c>
      <c r="G16" s="210">
        <v>52000</v>
      </c>
      <c r="H16" s="221">
        <v>68000</v>
      </c>
      <c r="I16" s="210">
        <v>69000</v>
      </c>
      <c r="J16" s="210">
        <v>65000</v>
      </c>
      <c r="K16" s="223">
        <v>96000</v>
      </c>
      <c r="L16" s="210">
        <v>90000</v>
      </c>
      <c r="M16" s="210">
        <v>100000</v>
      </c>
      <c r="N16" s="225">
        <v>136000</v>
      </c>
      <c r="O16" s="210">
        <v>85000</v>
      </c>
      <c r="P16" s="210">
        <v>172000</v>
      </c>
    </row>
    <row r="17" spans="1:16" ht="40.799999999999997">
      <c r="A17" s="213" t="s">
        <v>543</v>
      </c>
      <c r="B17" s="217">
        <v>39000</v>
      </c>
      <c r="C17" s="210">
        <v>42000</v>
      </c>
      <c r="D17" s="210">
        <v>39000</v>
      </c>
      <c r="E17" s="219">
        <v>39000</v>
      </c>
      <c r="F17" s="210">
        <v>39000</v>
      </c>
      <c r="G17" s="210">
        <v>39000</v>
      </c>
      <c r="H17" s="221">
        <v>36000</v>
      </c>
      <c r="I17" s="210">
        <v>39000</v>
      </c>
      <c r="J17" s="210">
        <v>36000</v>
      </c>
      <c r="K17" s="223">
        <v>55000</v>
      </c>
      <c r="L17" s="210">
        <v>54000</v>
      </c>
      <c r="M17" s="210" t="s">
        <v>549</v>
      </c>
      <c r="N17" s="225" t="s">
        <v>549</v>
      </c>
      <c r="O17" s="210" t="s">
        <v>548</v>
      </c>
      <c r="P17" s="210" t="s">
        <v>548</v>
      </c>
    </row>
    <row r="18" spans="1:16">
      <c r="A18" s="213" t="s">
        <v>544</v>
      </c>
      <c r="B18" s="217">
        <v>64000</v>
      </c>
      <c r="C18" s="210">
        <v>67000</v>
      </c>
      <c r="D18" s="210">
        <v>62000</v>
      </c>
      <c r="E18" s="219">
        <v>58000</v>
      </c>
      <c r="F18" s="210">
        <v>63000</v>
      </c>
      <c r="G18" s="210">
        <v>54000</v>
      </c>
      <c r="H18" s="221">
        <v>62000</v>
      </c>
      <c r="I18" s="210">
        <v>66000</v>
      </c>
      <c r="J18" s="210">
        <v>56000</v>
      </c>
      <c r="K18" s="223">
        <v>70000</v>
      </c>
      <c r="L18" s="210">
        <v>74000</v>
      </c>
      <c r="M18" s="210">
        <v>70000</v>
      </c>
      <c r="N18" s="225" t="s">
        <v>549</v>
      </c>
      <c r="O18" s="210" t="s">
        <v>549</v>
      </c>
      <c r="P18" s="210">
        <v>63000</v>
      </c>
    </row>
    <row r="19" spans="1:16">
      <c r="A19" s="213" t="s">
        <v>545</v>
      </c>
      <c r="B19" s="217">
        <v>90000</v>
      </c>
      <c r="C19" s="210">
        <v>92000</v>
      </c>
      <c r="D19" s="210">
        <v>89000</v>
      </c>
      <c r="E19" s="219">
        <v>80000</v>
      </c>
      <c r="F19" s="210">
        <v>94000</v>
      </c>
      <c r="G19" s="210">
        <v>70000</v>
      </c>
      <c r="H19" s="221">
        <v>80000</v>
      </c>
      <c r="I19" s="210">
        <v>79000</v>
      </c>
      <c r="J19" s="210">
        <v>80000</v>
      </c>
      <c r="K19" s="223">
        <v>108000</v>
      </c>
      <c r="L19" s="210">
        <v>105000</v>
      </c>
      <c r="M19" s="210">
        <v>109000</v>
      </c>
      <c r="N19" s="225">
        <v>213000</v>
      </c>
      <c r="O19" s="210" t="s">
        <v>549</v>
      </c>
      <c r="P19" s="210">
        <v>217000</v>
      </c>
    </row>
    <row r="20" spans="1:16">
      <c r="A20" s="213" t="s">
        <v>546</v>
      </c>
      <c r="B20" s="217">
        <v>105000</v>
      </c>
      <c r="C20" s="210">
        <v>102000</v>
      </c>
      <c r="D20" s="210">
        <v>107000</v>
      </c>
      <c r="E20" s="219">
        <v>85000</v>
      </c>
      <c r="F20" s="210">
        <v>84000</v>
      </c>
      <c r="G20" s="210">
        <v>85000</v>
      </c>
      <c r="H20" s="221">
        <v>96000</v>
      </c>
      <c r="I20" s="210">
        <v>93000</v>
      </c>
      <c r="J20" s="210">
        <v>96000</v>
      </c>
      <c r="K20" s="223">
        <v>125000</v>
      </c>
      <c r="L20" s="210">
        <v>125000</v>
      </c>
      <c r="M20" s="210">
        <v>125000</v>
      </c>
      <c r="N20" s="225">
        <v>144000</v>
      </c>
      <c r="O20" s="210">
        <v>70000</v>
      </c>
      <c r="P20" s="210">
        <v>172000</v>
      </c>
    </row>
    <row r="21" spans="1:16" ht="61.2">
      <c r="A21" s="212" t="s">
        <v>551</v>
      </c>
      <c r="B21" s="217">
        <v>104000</v>
      </c>
      <c r="C21" s="210">
        <v>92000</v>
      </c>
      <c r="D21" s="210">
        <v>109000</v>
      </c>
      <c r="E21" s="219">
        <v>98000</v>
      </c>
      <c r="F21" s="210">
        <v>88000</v>
      </c>
      <c r="G21" s="210">
        <v>100000</v>
      </c>
      <c r="H21" s="221">
        <v>114000</v>
      </c>
      <c r="I21" s="210">
        <v>100000</v>
      </c>
      <c r="J21" s="210">
        <v>120000</v>
      </c>
      <c r="K21" s="223">
        <v>139000</v>
      </c>
      <c r="L21" s="210">
        <v>120000</v>
      </c>
      <c r="M21" s="210">
        <v>145000</v>
      </c>
      <c r="N21" s="225">
        <v>96000</v>
      </c>
      <c r="O21" s="210" t="s">
        <v>549</v>
      </c>
      <c r="P21" s="210">
        <v>90000</v>
      </c>
    </row>
    <row r="22" spans="1:16" ht="40.799999999999997">
      <c r="A22" s="213" t="s">
        <v>543</v>
      </c>
      <c r="B22" s="217">
        <v>81000</v>
      </c>
      <c r="C22" s="210">
        <v>80000</v>
      </c>
      <c r="D22" s="210">
        <v>81000</v>
      </c>
      <c r="E22" s="219">
        <v>77000</v>
      </c>
      <c r="F22" s="210">
        <v>75000</v>
      </c>
      <c r="G22" s="210">
        <v>78000</v>
      </c>
      <c r="H22" s="221">
        <v>92000</v>
      </c>
      <c r="I22" s="210">
        <v>91000</v>
      </c>
      <c r="J22" s="210">
        <v>96000</v>
      </c>
      <c r="K22" s="223" t="s">
        <v>549</v>
      </c>
      <c r="L22" s="210" t="s">
        <v>549</v>
      </c>
      <c r="M22" s="210" t="s">
        <v>549</v>
      </c>
      <c r="N22" s="225" t="s">
        <v>548</v>
      </c>
      <c r="O22" s="210" t="s">
        <v>548</v>
      </c>
      <c r="P22" s="210" t="s">
        <v>548</v>
      </c>
    </row>
    <row r="23" spans="1:16">
      <c r="A23" s="213" t="s">
        <v>544</v>
      </c>
      <c r="B23" s="217">
        <v>102000</v>
      </c>
      <c r="C23" s="210">
        <v>95000</v>
      </c>
      <c r="D23" s="210">
        <v>105000</v>
      </c>
      <c r="E23" s="219">
        <v>97000</v>
      </c>
      <c r="F23" s="210">
        <v>89000</v>
      </c>
      <c r="G23" s="210">
        <v>100000</v>
      </c>
      <c r="H23" s="221">
        <v>110000</v>
      </c>
      <c r="I23" s="210">
        <v>104000</v>
      </c>
      <c r="J23" s="210">
        <v>119000</v>
      </c>
      <c r="K23" s="223">
        <v>143000</v>
      </c>
      <c r="L23" s="210">
        <v>106000</v>
      </c>
      <c r="M23" s="210">
        <v>147000</v>
      </c>
      <c r="N23" s="225" t="s">
        <v>548</v>
      </c>
      <c r="O23" s="210" t="s">
        <v>548</v>
      </c>
      <c r="P23" s="210" t="s">
        <v>548</v>
      </c>
    </row>
    <row r="24" spans="1:16">
      <c r="A24" s="213" t="s">
        <v>545</v>
      </c>
      <c r="B24" s="217">
        <v>114000</v>
      </c>
      <c r="C24" s="210">
        <v>98000</v>
      </c>
      <c r="D24" s="210">
        <v>120000</v>
      </c>
      <c r="E24" s="219">
        <v>110000</v>
      </c>
      <c r="F24" s="210">
        <v>96000</v>
      </c>
      <c r="G24" s="210">
        <v>113000</v>
      </c>
      <c r="H24" s="221">
        <v>120000</v>
      </c>
      <c r="I24" s="210">
        <v>99000</v>
      </c>
      <c r="J24" s="210">
        <v>130000</v>
      </c>
      <c r="K24" s="223">
        <v>138000</v>
      </c>
      <c r="L24" s="210">
        <v>126000</v>
      </c>
      <c r="M24" s="210">
        <v>146000</v>
      </c>
      <c r="N24" s="225" t="s">
        <v>549</v>
      </c>
      <c r="O24" s="210" t="s">
        <v>548</v>
      </c>
      <c r="P24" s="210" t="s">
        <v>548</v>
      </c>
    </row>
    <row r="25" spans="1:16">
      <c r="A25" s="213" t="s">
        <v>546</v>
      </c>
      <c r="B25" s="217">
        <v>112000</v>
      </c>
      <c r="C25" s="210">
        <v>97000</v>
      </c>
      <c r="D25" s="210">
        <v>120000</v>
      </c>
      <c r="E25" s="219">
        <v>106000</v>
      </c>
      <c r="F25" s="210">
        <v>90000</v>
      </c>
      <c r="G25" s="210">
        <v>110000</v>
      </c>
      <c r="H25" s="221">
        <v>120000</v>
      </c>
      <c r="I25" s="210">
        <v>108000</v>
      </c>
      <c r="J25" s="210">
        <v>130000</v>
      </c>
      <c r="K25" s="223">
        <v>139000</v>
      </c>
      <c r="L25" s="210">
        <v>131000</v>
      </c>
      <c r="M25" s="210">
        <v>140000</v>
      </c>
      <c r="N25" s="225">
        <v>98000</v>
      </c>
      <c r="O25" s="210" t="s">
        <v>548</v>
      </c>
      <c r="P25" s="210" t="s">
        <v>549</v>
      </c>
    </row>
    <row r="26" spans="1:16" ht="51.6">
      <c r="A26" s="212" t="s">
        <v>552</v>
      </c>
      <c r="B26" s="217">
        <v>78000</v>
      </c>
      <c r="C26" s="210">
        <v>72000</v>
      </c>
      <c r="D26" s="210">
        <v>80000</v>
      </c>
      <c r="E26" s="219">
        <v>63000</v>
      </c>
      <c r="F26" s="210">
        <v>60000</v>
      </c>
      <c r="G26" s="210">
        <v>65000</v>
      </c>
      <c r="H26" s="221">
        <v>78000</v>
      </c>
      <c r="I26" s="210">
        <v>77000</v>
      </c>
      <c r="J26" s="210">
        <v>79000</v>
      </c>
      <c r="K26" s="223">
        <v>100000</v>
      </c>
      <c r="L26" s="210">
        <v>83000</v>
      </c>
      <c r="M26" s="210">
        <v>102000</v>
      </c>
      <c r="N26" s="225" t="s">
        <v>549</v>
      </c>
      <c r="O26" s="210" t="s">
        <v>548</v>
      </c>
      <c r="P26" s="214" t="s">
        <v>553</v>
      </c>
    </row>
    <row r="27" spans="1:16" ht="40.799999999999997">
      <c r="A27" s="213" t="s">
        <v>543</v>
      </c>
      <c r="B27" s="217">
        <v>43000</v>
      </c>
      <c r="C27" s="210">
        <v>44000</v>
      </c>
      <c r="D27" s="210">
        <v>40000</v>
      </c>
      <c r="E27" s="219">
        <v>41000</v>
      </c>
      <c r="F27" s="210">
        <v>43000</v>
      </c>
      <c r="G27" s="210">
        <v>37000</v>
      </c>
      <c r="H27" s="221">
        <v>34000</v>
      </c>
      <c r="I27" s="210">
        <v>43000</v>
      </c>
      <c r="J27" s="210">
        <v>33000</v>
      </c>
      <c r="K27" s="223">
        <v>69000</v>
      </c>
      <c r="L27" s="210">
        <v>83000</v>
      </c>
      <c r="M27" s="210">
        <v>55000</v>
      </c>
      <c r="N27" s="225" t="s">
        <v>548</v>
      </c>
      <c r="O27" s="210" t="s">
        <v>548</v>
      </c>
      <c r="P27" s="210" t="s">
        <v>548</v>
      </c>
    </row>
    <row r="28" spans="1:16">
      <c r="A28" s="213" t="s">
        <v>544</v>
      </c>
      <c r="B28" s="217">
        <v>72000</v>
      </c>
      <c r="C28" s="210">
        <v>71000</v>
      </c>
      <c r="D28" s="210">
        <v>72000</v>
      </c>
      <c r="E28" s="219">
        <v>64000</v>
      </c>
      <c r="F28" s="210">
        <v>56000</v>
      </c>
      <c r="G28" s="210">
        <v>69000</v>
      </c>
      <c r="H28" s="221">
        <v>75000</v>
      </c>
      <c r="I28" s="210">
        <v>74000</v>
      </c>
      <c r="J28" s="210">
        <v>78000</v>
      </c>
      <c r="K28" s="223">
        <v>80000</v>
      </c>
      <c r="L28" s="210">
        <v>79000</v>
      </c>
      <c r="M28" s="210">
        <v>82000</v>
      </c>
      <c r="N28" s="225" t="s">
        <v>548</v>
      </c>
      <c r="O28" s="210" t="s">
        <v>548</v>
      </c>
      <c r="P28" s="210" t="s">
        <v>548</v>
      </c>
    </row>
    <row r="29" spans="1:16">
      <c r="A29" s="213" t="s">
        <v>545</v>
      </c>
      <c r="B29" s="217">
        <v>92000</v>
      </c>
      <c r="C29" s="210">
        <v>91000</v>
      </c>
      <c r="D29" s="210">
        <v>92000</v>
      </c>
      <c r="E29" s="219">
        <v>79000</v>
      </c>
      <c r="F29" s="210">
        <v>74000</v>
      </c>
      <c r="G29" s="210">
        <v>80000</v>
      </c>
      <c r="H29" s="221">
        <v>98000</v>
      </c>
      <c r="I29" s="210">
        <v>106000</v>
      </c>
      <c r="J29" s="210">
        <v>92000</v>
      </c>
      <c r="K29" s="223">
        <v>105000</v>
      </c>
      <c r="L29" s="210">
        <v>102000</v>
      </c>
      <c r="M29" s="210">
        <v>104000</v>
      </c>
      <c r="N29" s="225" t="s">
        <v>548</v>
      </c>
      <c r="O29" s="210" t="s">
        <v>548</v>
      </c>
      <c r="P29" s="210" t="s">
        <v>548</v>
      </c>
    </row>
    <row r="30" spans="1:16">
      <c r="A30" s="213" t="s">
        <v>546</v>
      </c>
      <c r="B30" s="217">
        <v>105000</v>
      </c>
      <c r="C30" s="210">
        <v>88000</v>
      </c>
      <c r="D30" s="210">
        <v>110000</v>
      </c>
      <c r="E30" s="219">
        <v>90000</v>
      </c>
      <c r="F30" s="210">
        <v>85000</v>
      </c>
      <c r="G30" s="210">
        <v>100000</v>
      </c>
      <c r="H30" s="221">
        <v>99000</v>
      </c>
      <c r="I30" s="210">
        <v>82000</v>
      </c>
      <c r="J30" s="210">
        <v>102000</v>
      </c>
      <c r="K30" s="223">
        <v>118000</v>
      </c>
      <c r="L30" s="210">
        <v>101000</v>
      </c>
      <c r="M30" s="210">
        <v>119000</v>
      </c>
      <c r="N30" s="225" t="s">
        <v>548</v>
      </c>
      <c r="O30" s="210" t="s">
        <v>548</v>
      </c>
      <c r="P30" s="210" t="s">
        <v>548</v>
      </c>
    </row>
    <row r="31" spans="1:16" ht="51">
      <c r="A31" s="212" t="s">
        <v>554</v>
      </c>
      <c r="B31" s="217">
        <v>78000</v>
      </c>
      <c r="C31" s="210">
        <v>75000</v>
      </c>
      <c r="D31" s="210">
        <v>87000</v>
      </c>
      <c r="E31" s="219">
        <v>71000</v>
      </c>
      <c r="F31" s="210">
        <v>64000</v>
      </c>
      <c r="G31" s="210">
        <v>79000</v>
      </c>
      <c r="H31" s="221">
        <v>72000</v>
      </c>
      <c r="I31" s="210">
        <v>72000</v>
      </c>
      <c r="J31" s="210">
        <v>72000</v>
      </c>
      <c r="K31" s="223">
        <v>91000</v>
      </c>
      <c r="L31" s="210">
        <v>87000</v>
      </c>
      <c r="M31" s="210">
        <v>98000</v>
      </c>
      <c r="N31" s="225">
        <v>79000</v>
      </c>
      <c r="O31" s="210">
        <v>78000</v>
      </c>
      <c r="P31" s="210">
        <v>85000</v>
      </c>
    </row>
    <row r="32" spans="1:16" ht="40.799999999999997">
      <c r="A32" s="213" t="s">
        <v>543</v>
      </c>
      <c r="B32" s="217">
        <v>55000</v>
      </c>
      <c r="C32" s="210">
        <v>52000</v>
      </c>
      <c r="D32" s="210">
        <v>64000</v>
      </c>
      <c r="E32" s="219">
        <v>50000</v>
      </c>
      <c r="F32" s="210">
        <v>42000</v>
      </c>
      <c r="G32" s="210">
        <v>71000</v>
      </c>
      <c r="H32" s="221">
        <v>54000</v>
      </c>
      <c r="I32" s="210">
        <v>54000</v>
      </c>
      <c r="J32" s="210">
        <v>53000</v>
      </c>
      <c r="K32" s="223">
        <v>68000</v>
      </c>
      <c r="L32" s="210">
        <v>65000</v>
      </c>
      <c r="M32" s="210">
        <v>71000</v>
      </c>
      <c r="N32" s="225" t="s">
        <v>548</v>
      </c>
      <c r="O32" s="210" t="s">
        <v>548</v>
      </c>
      <c r="P32" s="210" t="s">
        <v>548</v>
      </c>
    </row>
    <row r="33" spans="1:16">
      <c r="A33" s="213" t="s">
        <v>544</v>
      </c>
      <c r="B33" s="217">
        <v>78000</v>
      </c>
      <c r="C33" s="210">
        <v>77000</v>
      </c>
      <c r="D33" s="210">
        <v>84000</v>
      </c>
      <c r="E33" s="219">
        <v>78000</v>
      </c>
      <c r="F33" s="210">
        <v>75000</v>
      </c>
      <c r="G33" s="210">
        <v>103000</v>
      </c>
      <c r="H33" s="221">
        <v>70000</v>
      </c>
      <c r="I33" s="210">
        <v>72000</v>
      </c>
      <c r="J33" s="210">
        <v>70000</v>
      </c>
      <c r="K33" s="223">
        <v>86000</v>
      </c>
      <c r="L33" s="210">
        <v>77000</v>
      </c>
      <c r="M33" s="210">
        <v>92000</v>
      </c>
      <c r="N33" s="225">
        <v>77000</v>
      </c>
      <c r="O33" s="210" t="s">
        <v>549</v>
      </c>
      <c r="P33" s="210" t="s">
        <v>548</v>
      </c>
    </row>
    <row r="34" spans="1:16" ht="15">
      <c r="A34" s="213" t="s">
        <v>545</v>
      </c>
      <c r="B34" s="217">
        <v>80000</v>
      </c>
      <c r="C34" s="210">
        <v>75000</v>
      </c>
      <c r="D34" s="210">
        <v>98000</v>
      </c>
      <c r="E34" s="219">
        <v>74000</v>
      </c>
      <c r="F34" s="210">
        <v>72000</v>
      </c>
      <c r="G34" s="210">
        <v>100000</v>
      </c>
      <c r="H34" s="221">
        <v>78000</v>
      </c>
      <c r="I34" s="210">
        <v>77000</v>
      </c>
      <c r="J34" s="210">
        <v>92000</v>
      </c>
      <c r="K34" s="223">
        <v>85000</v>
      </c>
      <c r="L34" s="210">
        <v>83000</v>
      </c>
      <c r="M34" s="210">
        <v>93000</v>
      </c>
      <c r="N34" s="225">
        <v>94000</v>
      </c>
      <c r="O34" s="210">
        <v>95000</v>
      </c>
      <c r="P34" s="214" t="s">
        <v>553</v>
      </c>
    </row>
    <row r="35" spans="1:16">
      <c r="A35" s="213" t="s">
        <v>546</v>
      </c>
      <c r="B35" s="217">
        <v>100000</v>
      </c>
      <c r="C35" s="210">
        <v>93000</v>
      </c>
      <c r="D35" s="210">
        <v>100000</v>
      </c>
      <c r="E35" s="219" t="s">
        <v>549</v>
      </c>
      <c r="F35" s="210">
        <v>134000</v>
      </c>
      <c r="G35" s="210">
        <v>77000</v>
      </c>
      <c r="H35" s="221">
        <v>91000</v>
      </c>
      <c r="I35" s="210">
        <v>82000</v>
      </c>
      <c r="J35" s="210">
        <v>98000</v>
      </c>
      <c r="K35" s="223">
        <v>100000</v>
      </c>
      <c r="L35" s="210">
        <v>92000</v>
      </c>
      <c r="M35" s="210">
        <v>107000</v>
      </c>
      <c r="N35" s="225">
        <v>108000</v>
      </c>
      <c r="O35" s="210">
        <v>94000</v>
      </c>
      <c r="P35" s="210">
        <v>130000</v>
      </c>
    </row>
    <row r="36" spans="1:16" ht="20.399999999999999">
      <c r="A36" s="212" t="s">
        <v>555</v>
      </c>
      <c r="B36" s="217">
        <v>101000</v>
      </c>
      <c r="C36" s="210">
        <v>93000</v>
      </c>
      <c r="D36" s="210">
        <v>104000</v>
      </c>
      <c r="E36" s="219">
        <v>95000</v>
      </c>
      <c r="F36" s="210">
        <v>85000</v>
      </c>
      <c r="G36" s="210">
        <v>96000</v>
      </c>
      <c r="H36" s="221">
        <v>112000</v>
      </c>
      <c r="I36" s="210">
        <v>105000</v>
      </c>
      <c r="J36" s="210">
        <v>115000</v>
      </c>
      <c r="K36" s="223">
        <v>132000</v>
      </c>
      <c r="L36" s="210">
        <v>110000</v>
      </c>
      <c r="M36" s="210">
        <v>134000</v>
      </c>
      <c r="N36" s="225" t="s">
        <v>549</v>
      </c>
      <c r="O36" s="210" t="s">
        <v>548</v>
      </c>
      <c r="P36" s="210" t="s">
        <v>549</v>
      </c>
    </row>
    <row r="37" spans="1:16" ht="40.799999999999997">
      <c r="A37" s="213" t="s">
        <v>543</v>
      </c>
      <c r="B37" s="217">
        <v>77000</v>
      </c>
      <c r="C37" s="210">
        <v>74000</v>
      </c>
      <c r="D37" s="210">
        <v>77000</v>
      </c>
      <c r="E37" s="219">
        <v>75000</v>
      </c>
      <c r="F37" s="210">
        <v>72000</v>
      </c>
      <c r="G37" s="210">
        <v>75000</v>
      </c>
      <c r="H37" s="221">
        <v>84000</v>
      </c>
      <c r="I37" s="210">
        <v>79000</v>
      </c>
      <c r="J37" s="210">
        <v>84000</v>
      </c>
      <c r="K37" s="223">
        <v>96000</v>
      </c>
      <c r="L37" s="210" t="s">
        <v>548</v>
      </c>
      <c r="M37" s="210">
        <v>100000</v>
      </c>
      <c r="N37" s="225" t="s">
        <v>548</v>
      </c>
      <c r="O37" s="210" t="s">
        <v>548</v>
      </c>
      <c r="P37" s="210" t="s">
        <v>548</v>
      </c>
    </row>
    <row r="38" spans="1:16">
      <c r="A38" s="213" t="s">
        <v>544</v>
      </c>
      <c r="B38" s="217">
        <v>100000</v>
      </c>
      <c r="C38" s="210">
        <v>100000</v>
      </c>
      <c r="D38" s="210">
        <v>100000</v>
      </c>
      <c r="E38" s="219">
        <v>95000</v>
      </c>
      <c r="F38" s="210">
        <v>99000</v>
      </c>
      <c r="G38" s="210">
        <v>95000</v>
      </c>
      <c r="H38" s="221">
        <v>106000</v>
      </c>
      <c r="I38" s="210">
        <v>102000</v>
      </c>
      <c r="J38" s="210">
        <v>110000</v>
      </c>
      <c r="K38" s="223">
        <v>114000</v>
      </c>
      <c r="L38" s="210">
        <v>101000</v>
      </c>
      <c r="M38" s="210">
        <v>119000</v>
      </c>
      <c r="N38" s="225" t="s">
        <v>548</v>
      </c>
      <c r="O38" s="210" t="s">
        <v>548</v>
      </c>
      <c r="P38" s="210" t="s">
        <v>548</v>
      </c>
    </row>
    <row r="39" spans="1:16">
      <c r="A39" s="213" t="s">
        <v>545</v>
      </c>
      <c r="B39" s="217">
        <v>120000</v>
      </c>
      <c r="C39" s="210">
        <v>119000</v>
      </c>
      <c r="D39" s="210">
        <v>120000</v>
      </c>
      <c r="E39" s="219">
        <v>110000</v>
      </c>
      <c r="F39" s="210">
        <v>106000</v>
      </c>
      <c r="G39" s="210">
        <v>111000</v>
      </c>
      <c r="H39" s="221">
        <v>123000</v>
      </c>
      <c r="I39" s="210">
        <v>126000</v>
      </c>
      <c r="J39" s="210">
        <v>122000</v>
      </c>
      <c r="K39" s="223">
        <v>137000</v>
      </c>
      <c r="L39" s="210">
        <v>113000</v>
      </c>
      <c r="M39" s="210">
        <v>147000</v>
      </c>
      <c r="N39" s="225" t="s">
        <v>548</v>
      </c>
      <c r="O39" s="210" t="s">
        <v>548</v>
      </c>
      <c r="P39" s="210" t="s">
        <v>548</v>
      </c>
    </row>
    <row r="40" spans="1:16">
      <c r="A40" s="213" t="s">
        <v>546</v>
      </c>
      <c r="B40" s="217">
        <v>125000</v>
      </c>
      <c r="C40" s="210">
        <v>121000</v>
      </c>
      <c r="D40" s="210">
        <v>126000</v>
      </c>
      <c r="E40" s="219">
        <v>119000</v>
      </c>
      <c r="F40" s="210">
        <v>112000</v>
      </c>
      <c r="G40" s="210">
        <v>119000</v>
      </c>
      <c r="H40" s="221">
        <v>133000</v>
      </c>
      <c r="I40" s="210">
        <v>131000</v>
      </c>
      <c r="J40" s="210">
        <v>133000</v>
      </c>
      <c r="K40" s="223">
        <v>154000</v>
      </c>
      <c r="L40" s="210">
        <v>147000</v>
      </c>
      <c r="M40" s="210">
        <v>156000</v>
      </c>
      <c r="N40" s="225" t="s">
        <v>548</v>
      </c>
      <c r="O40" s="210" t="s">
        <v>548</v>
      </c>
      <c r="P40" s="210" t="s">
        <v>548</v>
      </c>
    </row>
    <row r="41" spans="1:16" ht="40.799999999999997">
      <c r="A41" s="211" t="s">
        <v>556</v>
      </c>
      <c r="B41" s="217">
        <v>83000</v>
      </c>
      <c r="C41" s="210">
        <v>75000</v>
      </c>
      <c r="D41" s="210">
        <v>100000</v>
      </c>
      <c r="E41" s="219">
        <v>70000</v>
      </c>
      <c r="F41" s="210">
        <v>66000</v>
      </c>
      <c r="G41" s="210">
        <v>80000</v>
      </c>
      <c r="H41" s="221">
        <v>88000</v>
      </c>
      <c r="I41" s="210">
        <v>81000</v>
      </c>
      <c r="J41" s="210">
        <v>100000</v>
      </c>
      <c r="K41" s="223">
        <v>100000</v>
      </c>
      <c r="L41" s="210">
        <v>94000</v>
      </c>
      <c r="M41" s="210">
        <v>115000</v>
      </c>
      <c r="N41" s="225">
        <v>150000</v>
      </c>
      <c r="O41" s="210">
        <v>127000</v>
      </c>
      <c r="P41" s="210">
        <v>194000</v>
      </c>
    </row>
    <row r="42" spans="1:16" ht="20.399999999999999">
      <c r="A42" s="212" t="s">
        <v>543</v>
      </c>
      <c r="B42" s="217">
        <v>58000</v>
      </c>
      <c r="C42" s="210">
        <v>58000</v>
      </c>
      <c r="D42" s="210">
        <v>60000</v>
      </c>
      <c r="E42" s="219">
        <v>56000</v>
      </c>
      <c r="F42" s="210">
        <v>55000</v>
      </c>
      <c r="G42" s="210">
        <v>56000</v>
      </c>
      <c r="H42" s="221">
        <v>63000</v>
      </c>
      <c r="I42" s="210">
        <v>62000</v>
      </c>
      <c r="J42" s="210">
        <v>65000</v>
      </c>
      <c r="K42" s="223">
        <v>75000</v>
      </c>
      <c r="L42" s="210">
        <v>72000</v>
      </c>
      <c r="M42" s="210">
        <v>79000</v>
      </c>
      <c r="N42" s="225">
        <v>64000</v>
      </c>
      <c r="O42" s="210">
        <v>58000</v>
      </c>
      <c r="P42" s="210">
        <v>74000</v>
      </c>
    </row>
    <row r="43" spans="1:16">
      <c r="A43" s="212" t="s">
        <v>544</v>
      </c>
      <c r="B43" s="217">
        <v>79000</v>
      </c>
      <c r="C43" s="210">
        <v>74000</v>
      </c>
      <c r="D43" s="210">
        <v>88000</v>
      </c>
      <c r="E43" s="219">
        <v>67000</v>
      </c>
      <c r="F43" s="210">
        <v>65000</v>
      </c>
      <c r="G43" s="210">
        <v>74000</v>
      </c>
      <c r="H43" s="221">
        <v>85000</v>
      </c>
      <c r="I43" s="210">
        <v>80000</v>
      </c>
      <c r="J43" s="210">
        <v>96000</v>
      </c>
      <c r="K43" s="223">
        <v>90000</v>
      </c>
      <c r="L43" s="210">
        <v>89000</v>
      </c>
      <c r="M43" s="210">
        <v>95000</v>
      </c>
      <c r="N43" s="225">
        <v>139000</v>
      </c>
      <c r="O43" s="210">
        <v>135000</v>
      </c>
      <c r="P43" s="210">
        <v>150000</v>
      </c>
    </row>
    <row r="44" spans="1:16">
      <c r="A44" s="212" t="s">
        <v>545</v>
      </c>
      <c r="B44" s="217">
        <v>92000</v>
      </c>
      <c r="C44" s="210">
        <v>84000</v>
      </c>
      <c r="D44" s="210">
        <v>116000</v>
      </c>
      <c r="E44" s="219">
        <v>82000</v>
      </c>
      <c r="F44" s="210">
        <v>75000</v>
      </c>
      <c r="G44" s="210">
        <v>94000</v>
      </c>
      <c r="H44" s="221">
        <v>90000</v>
      </c>
      <c r="I44" s="210">
        <v>83000</v>
      </c>
      <c r="J44" s="210">
        <v>100000</v>
      </c>
      <c r="K44" s="223">
        <v>126000</v>
      </c>
      <c r="L44" s="210">
        <v>104000</v>
      </c>
      <c r="M44" s="210">
        <v>155000</v>
      </c>
      <c r="N44" s="225">
        <v>214000</v>
      </c>
      <c r="O44" s="210">
        <v>147000</v>
      </c>
      <c r="P44" s="210">
        <v>243000</v>
      </c>
    </row>
    <row r="45" spans="1:16">
      <c r="A45" s="212" t="s">
        <v>546</v>
      </c>
      <c r="B45" s="217">
        <v>99000</v>
      </c>
      <c r="C45" s="210">
        <v>85000</v>
      </c>
      <c r="D45" s="210">
        <v>120000</v>
      </c>
      <c r="E45" s="219">
        <v>89000</v>
      </c>
      <c r="F45" s="210">
        <v>76000</v>
      </c>
      <c r="G45" s="210">
        <v>100000</v>
      </c>
      <c r="H45" s="221">
        <v>95000</v>
      </c>
      <c r="I45" s="210">
        <v>90000</v>
      </c>
      <c r="J45" s="210">
        <v>110000</v>
      </c>
      <c r="K45" s="223">
        <v>119000</v>
      </c>
      <c r="L45" s="210">
        <v>100000</v>
      </c>
      <c r="M45" s="210">
        <v>127000</v>
      </c>
      <c r="N45" s="225">
        <v>198000</v>
      </c>
      <c r="O45" s="210">
        <v>149000</v>
      </c>
      <c r="P45" s="210">
        <v>218000</v>
      </c>
    </row>
    <row r="46" spans="1:16" ht="30.6">
      <c r="A46" s="211" t="s">
        <v>557</v>
      </c>
      <c r="B46" s="217">
        <v>70000</v>
      </c>
      <c r="C46" s="210">
        <v>62000</v>
      </c>
      <c r="D46" s="210">
        <v>80000</v>
      </c>
      <c r="E46" s="219">
        <v>64000</v>
      </c>
      <c r="F46" s="210">
        <v>55000</v>
      </c>
      <c r="G46" s="210">
        <v>75000</v>
      </c>
      <c r="H46" s="221">
        <v>75000</v>
      </c>
      <c r="I46" s="210">
        <v>69000</v>
      </c>
      <c r="J46" s="210">
        <v>92000</v>
      </c>
      <c r="K46" s="223">
        <v>95000</v>
      </c>
      <c r="L46" s="210">
        <v>90000</v>
      </c>
      <c r="M46" s="210">
        <v>100000</v>
      </c>
      <c r="N46" s="225">
        <v>119000</v>
      </c>
      <c r="O46" s="210">
        <v>100000</v>
      </c>
      <c r="P46" s="210">
        <v>143000</v>
      </c>
    </row>
    <row r="47" spans="1:16" ht="20.399999999999999">
      <c r="A47" s="212" t="s">
        <v>543</v>
      </c>
      <c r="B47" s="217">
        <v>50000</v>
      </c>
      <c r="C47" s="210">
        <v>47000</v>
      </c>
      <c r="D47" s="210">
        <v>52000</v>
      </c>
      <c r="E47" s="219">
        <v>47000</v>
      </c>
      <c r="F47" s="210">
        <v>45000</v>
      </c>
      <c r="G47" s="210">
        <v>52000</v>
      </c>
      <c r="H47" s="221">
        <v>55000</v>
      </c>
      <c r="I47" s="210">
        <v>55000</v>
      </c>
      <c r="J47" s="210">
        <v>59000</v>
      </c>
      <c r="K47" s="223" t="s">
        <v>549</v>
      </c>
      <c r="L47" s="210" t="s">
        <v>549</v>
      </c>
      <c r="M47" s="210" t="s">
        <v>549</v>
      </c>
      <c r="N47" s="225">
        <v>65000</v>
      </c>
      <c r="O47" s="210">
        <v>55000</v>
      </c>
      <c r="P47" s="210">
        <v>86000</v>
      </c>
    </row>
    <row r="48" spans="1:16">
      <c r="A48" s="212" t="s">
        <v>544</v>
      </c>
      <c r="B48" s="217">
        <v>67000</v>
      </c>
      <c r="C48" s="210">
        <v>61000</v>
      </c>
      <c r="D48" s="210">
        <v>75000</v>
      </c>
      <c r="E48" s="219">
        <v>63000</v>
      </c>
      <c r="F48" s="210">
        <v>56000</v>
      </c>
      <c r="G48" s="210">
        <v>70000</v>
      </c>
      <c r="H48" s="221">
        <v>70000</v>
      </c>
      <c r="I48" s="210">
        <v>65000</v>
      </c>
      <c r="J48" s="210">
        <v>82000</v>
      </c>
      <c r="K48" s="223">
        <v>91000</v>
      </c>
      <c r="L48" s="210">
        <v>85000</v>
      </c>
      <c r="M48" s="210">
        <v>102000</v>
      </c>
      <c r="N48" s="225">
        <v>106000</v>
      </c>
      <c r="O48" s="210">
        <v>100000</v>
      </c>
      <c r="P48" s="210">
        <v>119000</v>
      </c>
    </row>
    <row r="49" spans="1:16">
      <c r="A49" s="212" t="s">
        <v>545</v>
      </c>
      <c r="B49" s="217">
        <v>79000</v>
      </c>
      <c r="C49" s="210">
        <v>70000</v>
      </c>
      <c r="D49" s="210">
        <v>94000</v>
      </c>
      <c r="E49" s="219">
        <v>72000</v>
      </c>
      <c r="F49" s="210">
        <v>60000</v>
      </c>
      <c r="G49" s="210">
        <v>85000</v>
      </c>
      <c r="H49" s="221">
        <v>80000</v>
      </c>
      <c r="I49" s="210">
        <v>73000</v>
      </c>
      <c r="J49" s="210">
        <v>99000</v>
      </c>
      <c r="K49" s="223">
        <v>91000</v>
      </c>
      <c r="L49" s="210">
        <v>86000</v>
      </c>
      <c r="M49" s="210">
        <v>100000</v>
      </c>
      <c r="N49" s="225">
        <v>120000</v>
      </c>
      <c r="O49" s="210">
        <v>108000</v>
      </c>
      <c r="P49" s="210">
        <v>143000</v>
      </c>
    </row>
    <row r="50" spans="1:16">
      <c r="A50" s="215" t="s">
        <v>546</v>
      </c>
      <c r="B50" s="217">
        <v>80000</v>
      </c>
      <c r="C50" s="210">
        <v>68000</v>
      </c>
      <c r="D50" s="210">
        <v>94000</v>
      </c>
      <c r="E50" s="219">
        <v>72000</v>
      </c>
      <c r="F50" s="210">
        <v>60000</v>
      </c>
      <c r="G50" s="210">
        <v>80000</v>
      </c>
      <c r="H50" s="221">
        <v>88000</v>
      </c>
      <c r="I50" s="210">
        <v>79000</v>
      </c>
      <c r="J50" s="210">
        <v>110000</v>
      </c>
      <c r="K50" s="223">
        <v>96000</v>
      </c>
      <c r="L50" s="210">
        <v>95000</v>
      </c>
      <c r="M50" s="210">
        <v>103000</v>
      </c>
      <c r="N50" s="225">
        <v>149000</v>
      </c>
      <c r="O50" s="210">
        <v>116000</v>
      </c>
      <c r="P50" s="210">
        <v>150000</v>
      </c>
    </row>
    <row r="51" spans="1:16">
      <c r="A51" s="207"/>
      <c r="B51" s="207"/>
      <c r="C51" s="207"/>
      <c r="D51" s="207"/>
      <c r="E51" s="207"/>
      <c r="F51" s="207"/>
      <c r="G51" s="207"/>
      <c r="H51" s="207"/>
      <c r="I51" s="207"/>
      <c r="J51" s="207"/>
      <c r="K51" s="207"/>
      <c r="L51" s="207"/>
      <c r="M51" s="207"/>
      <c r="N51" s="207"/>
      <c r="O51" s="207"/>
      <c r="P51" s="207"/>
    </row>
    <row r="52" spans="1:16">
      <c r="A52" s="207"/>
      <c r="B52" s="207"/>
      <c r="C52" s="207"/>
      <c r="D52" s="207"/>
      <c r="E52" s="207"/>
      <c r="F52" s="207"/>
      <c r="G52" s="207"/>
      <c r="H52" s="207"/>
      <c r="I52" s="207"/>
      <c r="J52" s="207"/>
      <c r="K52" s="207"/>
      <c r="L52" s="207"/>
      <c r="M52" s="207"/>
      <c r="N52" s="207"/>
      <c r="O52" s="207"/>
      <c r="P52" s="207"/>
    </row>
    <row r="53" spans="1:16">
      <c r="A53" s="207"/>
      <c r="B53" s="207"/>
      <c r="C53" s="207"/>
      <c r="D53" s="207"/>
      <c r="E53" s="207"/>
      <c r="F53" s="207"/>
      <c r="G53" s="207"/>
      <c r="H53" s="207"/>
      <c r="I53" s="207"/>
      <c r="J53" s="207"/>
      <c r="K53" s="207"/>
      <c r="L53" s="207"/>
      <c r="M53" s="207"/>
      <c r="N53" s="207"/>
      <c r="O53" s="207"/>
      <c r="P53" s="207"/>
    </row>
    <row r="54" spans="1:16">
      <c r="A54" s="207"/>
      <c r="B54" s="207"/>
      <c r="C54" s="207"/>
      <c r="D54" s="207"/>
      <c r="E54" s="207"/>
      <c r="F54" s="207"/>
      <c r="G54" s="207"/>
      <c r="H54" s="207"/>
      <c r="I54" s="207"/>
      <c r="J54" s="207"/>
      <c r="K54" s="207"/>
      <c r="L54" s="207"/>
      <c r="M54" s="207"/>
      <c r="N54" s="207"/>
      <c r="O54" s="207"/>
      <c r="P54" s="207"/>
    </row>
    <row r="55" spans="1:16">
      <c r="A55" s="207"/>
      <c r="B55" s="207"/>
      <c r="C55" s="207"/>
      <c r="D55" s="207"/>
      <c r="E55" s="207"/>
      <c r="F55" s="207"/>
      <c r="G55" s="207"/>
      <c r="H55" s="207"/>
      <c r="I55" s="207"/>
      <c r="J55" s="207"/>
      <c r="K55" s="207"/>
      <c r="L55" s="207"/>
      <c r="M55" s="207"/>
      <c r="N55" s="207"/>
      <c r="O55" s="207"/>
      <c r="P55" s="207"/>
    </row>
    <row r="56" spans="1:16">
      <c r="A56" s="207"/>
      <c r="B56" s="207"/>
      <c r="C56" s="207"/>
      <c r="D56" s="207"/>
      <c r="E56" s="207"/>
      <c r="F56" s="207"/>
      <c r="G56" s="207"/>
      <c r="H56" s="207"/>
      <c r="I56" s="207"/>
      <c r="J56" s="207"/>
      <c r="K56" s="207"/>
      <c r="L56" s="207"/>
      <c r="M56" s="207"/>
      <c r="N56" s="207"/>
      <c r="O56" s="207"/>
      <c r="P56" s="207"/>
    </row>
    <row r="57" spans="1:16">
      <c r="A57" s="207"/>
      <c r="B57" s="207"/>
      <c r="C57" s="207"/>
      <c r="D57" s="207"/>
      <c r="E57" s="207"/>
      <c r="F57" s="207"/>
      <c r="G57" s="207"/>
      <c r="H57" s="207"/>
      <c r="I57" s="207"/>
      <c r="J57" s="207"/>
      <c r="K57" s="207"/>
      <c r="L57" s="207"/>
      <c r="M57" s="207"/>
      <c r="N57" s="207"/>
      <c r="O57" s="207"/>
      <c r="P57" s="207"/>
    </row>
  </sheetData>
  <mergeCells count="7">
    <mergeCell ref="A2:P2"/>
    <mergeCell ref="A4:A5"/>
    <mergeCell ref="B4:D4"/>
    <mergeCell ref="E4:G4"/>
    <mergeCell ref="H4:J4"/>
    <mergeCell ref="K4:M4"/>
    <mergeCell ref="N4:P4"/>
  </mergeCells>
  <pageMargins left="0.7" right="0.7" top="0.75" bottom="0.75" header="0.3" footer="0.3"/>
  <drawing r:id="rId1"/>
  <legacy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Z39"/>
  <sheetViews>
    <sheetView topLeftCell="O15" workbookViewId="0">
      <selection activeCell="A5" sqref="A5:Y39"/>
    </sheetView>
  </sheetViews>
  <sheetFormatPr defaultRowHeight="13.2"/>
  <cols>
    <col min="1" max="1" width="81.77734375" customWidth="1"/>
    <col min="2" max="2" width="14.44140625" style="167" customWidth="1"/>
    <col min="3" max="3" width="14.44140625" customWidth="1"/>
    <col min="4" max="4" width="14.77734375" customWidth="1"/>
    <col min="5" max="6" width="21.109375" customWidth="1"/>
    <col min="7" max="7" width="20.6640625" customWidth="1"/>
    <col min="8" max="8" width="14.44140625" style="170" customWidth="1"/>
    <col min="9" max="9" width="12.77734375" customWidth="1"/>
    <col min="10" max="10" width="14.77734375" customWidth="1"/>
    <col min="11" max="12" width="21.109375" customWidth="1"/>
    <col min="13" max="13" width="20.6640625" customWidth="1"/>
    <col min="14" max="14" width="12.6640625" style="173" customWidth="1"/>
    <col min="15" max="15" width="12.77734375" customWidth="1"/>
    <col min="16" max="16" width="14.77734375" customWidth="1"/>
    <col min="17" max="18" width="21.109375" customWidth="1"/>
    <col min="19" max="19" width="20.6640625" customWidth="1"/>
    <col min="20" max="20" width="12.77734375" style="176" customWidth="1"/>
    <col min="21" max="21" width="12.77734375" customWidth="1"/>
    <col min="22" max="22" width="14.77734375" customWidth="1"/>
    <col min="23" max="24" width="21.109375" customWidth="1"/>
    <col min="25" max="25" width="20.6640625" customWidth="1"/>
    <col min="26" max="26" width="3.109375" customWidth="1"/>
  </cols>
  <sheetData>
    <row r="1" spans="1:26" ht="39" customHeight="1">
      <c r="A1" s="321" t="s">
        <v>558</v>
      </c>
      <c r="B1" s="321"/>
      <c r="C1" s="321"/>
      <c r="D1" s="321"/>
      <c r="E1" s="321"/>
      <c r="F1" s="321"/>
      <c r="G1" s="321"/>
      <c r="H1" s="321"/>
      <c r="I1" s="321"/>
      <c r="J1" s="321"/>
      <c r="K1" s="321"/>
      <c r="L1" s="321"/>
      <c r="M1" s="321"/>
      <c r="N1" s="321"/>
      <c r="O1" s="321"/>
      <c r="P1" s="321"/>
      <c r="Q1" s="321"/>
      <c r="R1" s="321"/>
      <c r="S1" s="321"/>
      <c r="T1" s="321"/>
      <c r="U1" s="321"/>
      <c r="V1" s="321"/>
      <c r="W1" s="321"/>
      <c r="X1" s="321"/>
      <c r="Y1" s="321"/>
      <c r="Z1" s="321"/>
    </row>
    <row r="2" spans="1:26" ht="1.95" customHeight="1"/>
    <row r="3" spans="1:26" ht="13.95" customHeight="1">
      <c r="A3" s="339" t="s">
        <v>559</v>
      </c>
      <c r="B3" s="358" t="s">
        <v>218</v>
      </c>
      <c r="C3" s="359"/>
      <c r="D3" s="359"/>
      <c r="E3" s="359"/>
      <c r="F3" s="359"/>
      <c r="G3" s="360"/>
      <c r="H3" s="361" t="s">
        <v>219</v>
      </c>
      <c r="I3" s="362"/>
      <c r="J3" s="362"/>
      <c r="K3" s="362"/>
      <c r="L3" s="362"/>
      <c r="M3" s="363"/>
      <c r="N3" s="364" t="s">
        <v>221</v>
      </c>
      <c r="O3" s="365"/>
      <c r="P3" s="365"/>
      <c r="Q3" s="365"/>
      <c r="R3" s="365"/>
      <c r="S3" s="366"/>
      <c r="T3" s="367" t="s">
        <v>223</v>
      </c>
      <c r="U3" s="368"/>
      <c r="V3" s="368"/>
      <c r="W3" s="368"/>
      <c r="X3" s="368"/>
      <c r="Y3" s="369"/>
    </row>
    <row r="4" spans="1:26" ht="13.95" customHeight="1">
      <c r="A4" s="341"/>
      <c r="B4" s="168" t="s">
        <v>167</v>
      </c>
      <c r="C4" s="80">
        <v>0</v>
      </c>
      <c r="D4" s="61" t="s">
        <v>560</v>
      </c>
      <c r="E4" s="61" t="s">
        <v>561</v>
      </c>
      <c r="F4" s="61" t="s">
        <v>562</v>
      </c>
      <c r="G4" s="5" t="s">
        <v>563</v>
      </c>
      <c r="H4" s="171" t="s">
        <v>167</v>
      </c>
      <c r="I4" s="80">
        <v>0</v>
      </c>
      <c r="J4" s="61" t="s">
        <v>560</v>
      </c>
      <c r="K4" s="61" t="s">
        <v>561</v>
      </c>
      <c r="L4" s="61" t="s">
        <v>562</v>
      </c>
      <c r="M4" s="5" t="s">
        <v>563</v>
      </c>
      <c r="N4" s="174" t="s">
        <v>167</v>
      </c>
      <c r="O4" s="80">
        <v>0</v>
      </c>
      <c r="P4" s="61" t="s">
        <v>560</v>
      </c>
      <c r="Q4" s="61" t="s">
        <v>561</v>
      </c>
      <c r="R4" s="61" t="s">
        <v>562</v>
      </c>
      <c r="S4" s="5" t="s">
        <v>563</v>
      </c>
      <c r="T4" s="108" t="s">
        <v>167</v>
      </c>
      <c r="U4" s="80">
        <v>0</v>
      </c>
      <c r="V4" s="61" t="s">
        <v>560</v>
      </c>
      <c r="W4" s="61" t="s">
        <v>561</v>
      </c>
      <c r="X4" s="61" t="s">
        <v>562</v>
      </c>
      <c r="Y4" s="5" t="s">
        <v>563</v>
      </c>
    </row>
    <row r="5" spans="1:26" ht="12.45" customHeight="1">
      <c r="A5" s="18" t="s">
        <v>564</v>
      </c>
      <c r="B5" s="169">
        <v>240000</v>
      </c>
      <c r="C5" s="7">
        <v>153000</v>
      </c>
      <c r="D5" s="7">
        <v>12000</v>
      </c>
      <c r="E5" s="7">
        <v>15000</v>
      </c>
      <c r="F5" s="7">
        <v>15000</v>
      </c>
      <c r="G5" s="7">
        <v>44000</v>
      </c>
      <c r="H5" s="172">
        <v>93000</v>
      </c>
      <c r="I5" s="7">
        <v>53000</v>
      </c>
      <c r="J5" s="7">
        <v>3000</v>
      </c>
      <c r="K5" s="7">
        <v>7000</v>
      </c>
      <c r="L5" s="7">
        <v>5000</v>
      </c>
      <c r="M5" s="7">
        <v>11000</v>
      </c>
      <c r="N5" s="175">
        <v>53000</v>
      </c>
      <c r="O5" s="7">
        <v>31000</v>
      </c>
      <c r="P5" s="7">
        <v>2000</v>
      </c>
      <c r="Q5" s="7">
        <v>3000</v>
      </c>
      <c r="R5" s="7">
        <v>2000</v>
      </c>
      <c r="S5" s="7">
        <v>3000</v>
      </c>
      <c r="T5" s="191" t="s">
        <v>191</v>
      </c>
      <c r="U5" s="19" t="s">
        <v>220</v>
      </c>
      <c r="V5" s="19" t="s">
        <v>220</v>
      </c>
      <c r="W5" s="19" t="s">
        <v>220</v>
      </c>
      <c r="X5" s="19" t="s">
        <v>220</v>
      </c>
      <c r="Y5" s="19" t="s">
        <v>220</v>
      </c>
    </row>
    <row r="6" spans="1:26" ht="12.45" customHeight="1">
      <c r="A6" s="12" t="s">
        <v>565</v>
      </c>
      <c r="B6" s="119">
        <v>202000</v>
      </c>
      <c r="C6" s="9">
        <v>105000</v>
      </c>
      <c r="D6" s="9">
        <v>12000</v>
      </c>
      <c r="E6" s="9">
        <v>24000</v>
      </c>
      <c r="F6" s="9">
        <v>13000</v>
      </c>
      <c r="G6" s="9">
        <v>47000</v>
      </c>
      <c r="H6" s="143">
        <v>85000</v>
      </c>
      <c r="I6" s="9">
        <v>42000</v>
      </c>
      <c r="J6" s="9">
        <v>5000</v>
      </c>
      <c r="K6" s="9">
        <v>8000</v>
      </c>
      <c r="L6" s="9">
        <v>6000</v>
      </c>
      <c r="M6" s="9">
        <v>7000</v>
      </c>
      <c r="N6" s="137">
        <v>51000</v>
      </c>
      <c r="O6" s="9">
        <v>32000</v>
      </c>
      <c r="P6" s="13" t="s">
        <v>191</v>
      </c>
      <c r="Q6" s="9">
        <v>2000</v>
      </c>
      <c r="R6" s="9">
        <v>1000</v>
      </c>
      <c r="S6" s="9">
        <v>2000</v>
      </c>
      <c r="T6" s="152" t="s">
        <v>220</v>
      </c>
      <c r="U6" s="13" t="s">
        <v>220</v>
      </c>
      <c r="V6" s="13" t="s">
        <v>220</v>
      </c>
      <c r="W6" s="13" t="s">
        <v>220</v>
      </c>
      <c r="X6" s="13" t="s">
        <v>220</v>
      </c>
      <c r="Y6" s="13" t="s">
        <v>220</v>
      </c>
    </row>
    <row r="7" spans="1:26" ht="12.45" customHeight="1">
      <c r="A7" s="12" t="s">
        <v>566</v>
      </c>
      <c r="B7" s="119">
        <v>260000</v>
      </c>
      <c r="C7" s="9">
        <v>130000</v>
      </c>
      <c r="D7" s="9">
        <v>29000</v>
      </c>
      <c r="E7" s="9">
        <v>27000</v>
      </c>
      <c r="F7" s="9">
        <v>19000</v>
      </c>
      <c r="G7" s="9">
        <v>56000</v>
      </c>
      <c r="H7" s="143">
        <v>74000</v>
      </c>
      <c r="I7" s="9">
        <v>23000</v>
      </c>
      <c r="J7" s="13" t="s">
        <v>191</v>
      </c>
      <c r="K7" s="9">
        <v>5000</v>
      </c>
      <c r="L7" s="13" t="s">
        <v>191</v>
      </c>
      <c r="M7" s="9">
        <v>7000</v>
      </c>
      <c r="N7" s="137">
        <v>15000</v>
      </c>
      <c r="O7" s="9">
        <v>6000</v>
      </c>
      <c r="P7" s="9">
        <v>1000</v>
      </c>
      <c r="Q7" s="13" t="s">
        <v>191</v>
      </c>
      <c r="R7" s="13" t="s">
        <v>220</v>
      </c>
      <c r="S7" s="13" t="s">
        <v>220</v>
      </c>
      <c r="T7" s="152" t="s">
        <v>220</v>
      </c>
      <c r="U7" s="13" t="s">
        <v>220</v>
      </c>
      <c r="V7" s="13" t="s">
        <v>220</v>
      </c>
      <c r="W7" s="13" t="s">
        <v>220</v>
      </c>
      <c r="X7" s="13" t="s">
        <v>220</v>
      </c>
      <c r="Y7" s="13" t="s">
        <v>220</v>
      </c>
    </row>
    <row r="8" spans="1:26" ht="12.45" customHeight="1">
      <c r="A8" s="8" t="s">
        <v>206</v>
      </c>
      <c r="B8" s="119">
        <v>5017000</v>
      </c>
      <c r="C8" s="9">
        <v>2060000</v>
      </c>
      <c r="D8" s="9">
        <v>647000</v>
      </c>
      <c r="E8" s="9">
        <v>550000</v>
      </c>
      <c r="F8" s="9">
        <v>514000</v>
      </c>
      <c r="G8" s="9">
        <v>1246000</v>
      </c>
      <c r="H8" s="143">
        <v>2644000</v>
      </c>
      <c r="I8" s="9">
        <v>910000</v>
      </c>
      <c r="J8" s="9">
        <v>288000</v>
      </c>
      <c r="K8" s="9">
        <v>230000</v>
      </c>
      <c r="L8" s="9">
        <v>208000</v>
      </c>
      <c r="M8" s="9">
        <v>508000</v>
      </c>
      <c r="N8" s="137">
        <v>355000</v>
      </c>
      <c r="O8" s="9">
        <v>122000</v>
      </c>
      <c r="P8" s="9">
        <v>44000</v>
      </c>
      <c r="Q8" s="9">
        <v>18000</v>
      </c>
      <c r="R8" s="9">
        <v>26000</v>
      </c>
      <c r="S8" s="9">
        <v>53000</v>
      </c>
      <c r="T8" s="104">
        <v>1825000</v>
      </c>
      <c r="U8" s="9">
        <v>669000</v>
      </c>
      <c r="V8" s="9">
        <v>150000</v>
      </c>
      <c r="W8" s="9">
        <v>109000</v>
      </c>
      <c r="X8" s="9">
        <v>77000</v>
      </c>
      <c r="Y8" s="9">
        <v>287000</v>
      </c>
    </row>
    <row r="9" spans="1:26" ht="12.45" customHeight="1">
      <c r="A9" s="10" t="s">
        <v>567</v>
      </c>
      <c r="B9" s="187"/>
      <c r="C9" s="53"/>
      <c r="D9" s="53"/>
      <c r="E9" s="53"/>
      <c r="F9" s="53"/>
      <c r="G9" s="53"/>
      <c r="H9" s="188"/>
      <c r="I9" s="53"/>
      <c r="J9" s="53"/>
      <c r="K9" s="53"/>
      <c r="L9" s="53"/>
      <c r="M9" s="53"/>
      <c r="N9" s="189"/>
      <c r="O9" s="53"/>
      <c r="P9" s="53"/>
      <c r="Q9" s="53"/>
      <c r="R9" s="53"/>
      <c r="S9" s="53"/>
      <c r="T9" s="190"/>
      <c r="U9" s="53"/>
      <c r="V9" s="53"/>
      <c r="W9" s="53"/>
      <c r="X9" s="53"/>
      <c r="Y9" s="53"/>
    </row>
    <row r="10" spans="1:26" ht="12.45" customHeight="1">
      <c r="A10" s="12" t="s">
        <v>568</v>
      </c>
      <c r="B10" s="119">
        <v>745000</v>
      </c>
      <c r="C10" s="9">
        <v>311000</v>
      </c>
      <c r="D10" s="9">
        <v>113000</v>
      </c>
      <c r="E10" s="9">
        <v>68000</v>
      </c>
      <c r="F10" s="9">
        <v>84000</v>
      </c>
      <c r="G10" s="9">
        <v>169000</v>
      </c>
      <c r="H10" s="143">
        <v>353000</v>
      </c>
      <c r="I10" s="9">
        <v>107000</v>
      </c>
      <c r="J10" s="9">
        <v>66000</v>
      </c>
      <c r="K10" s="9">
        <v>33000</v>
      </c>
      <c r="L10" s="9">
        <v>23000</v>
      </c>
      <c r="M10" s="9">
        <v>63000</v>
      </c>
      <c r="N10" s="137">
        <v>36000</v>
      </c>
      <c r="O10" s="9">
        <v>11000</v>
      </c>
      <c r="P10" s="9">
        <v>5000</v>
      </c>
      <c r="Q10" s="13" t="s">
        <v>191</v>
      </c>
      <c r="R10" s="13" t="s">
        <v>191</v>
      </c>
      <c r="S10" s="13" t="s">
        <v>191</v>
      </c>
      <c r="T10" s="104">
        <v>147000</v>
      </c>
      <c r="U10" s="9">
        <v>52000</v>
      </c>
      <c r="V10" s="9">
        <v>21000</v>
      </c>
      <c r="W10" s="9">
        <v>4000</v>
      </c>
      <c r="X10" s="13" t="s">
        <v>191</v>
      </c>
      <c r="Y10" s="9">
        <v>12000</v>
      </c>
    </row>
    <row r="11" spans="1:26" ht="12.45" customHeight="1">
      <c r="A11" s="12" t="s">
        <v>569</v>
      </c>
      <c r="B11" s="119">
        <v>1336000</v>
      </c>
      <c r="C11" s="9">
        <v>473000</v>
      </c>
      <c r="D11" s="9">
        <v>210000</v>
      </c>
      <c r="E11" s="9">
        <v>157000</v>
      </c>
      <c r="F11" s="9">
        <v>136000</v>
      </c>
      <c r="G11" s="9">
        <v>360000</v>
      </c>
      <c r="H11" s="143">
        <v>620000</v>
      </c>
      <c r="I11" s="9">
        <v>163000</v>
      </c>
      <c r="J11" s="9">
        <v>58000</v>
      </c>
      <c r="K11" s="9">
        <v>57000</v>
      </c>
      <c r="L11" s="9">
        <v>51000</v>
      </c>
      <c r="M11" s="9">
        <v>161000</v>
      </c>
      <c r="N11" s="137">
        <v>97000</v>
      </c>
      <c r="O11" s="9">
        <v>36000</v>
      </c>
      <c r="P11" s="9">
        <v>9000</v>
      </c>
      <c r="Q11" s="13" t="s">
        <v>191</v>
      </c>
      <c r="R11" s="13" t="s">
        <v>191</v>
      </c>
      <c r="S11" s="9">
        <v>18000</v>
      </c>
      <c r="T11" s="104">
        <v>294000</v>
      </c>
      <c r="U11" s="9">
        <v>57000</v>
      </c>
      <c r="V11" s="9">
        <v>30000</v>
      </c>
      <c r="W11" s="9">
        <v>27000</v>
      </c>
      <c r="X11" s="9">
        <v>18000</v>
      </c>
      <c r="Y11" s="9">
        <v>69000</v>
      </c>
    </row>
    <row r="12" spans="1:26" ht="12.45" customHeight="1">
      <c r="A12" s="81" t="s">
        <v>570</v>
      </c>
      <c r="B12" s="119">
        <v>1017000</v>
      </c>
      <c r="C12" s="9">
        <v>352000</v>
      </c>
      <c r="D12" s="9">
        <v>137000</v>
      </c>
      <c r="E12" s="9">
        <v>117000</v>
      </c>
      <c r="F12" s="9">
        <v>115000</v>
      </c>
      <c r="G12" s="9">
        <v>296000</v>
      </c>
      <c r="H12" s="143">
        <v>483000</v>
      </c>
      <c r="I12" s="9">
        <v>150000</v>
      </c>
      <c r="J12" s="9">
        <v>67000</v>
      </c>
      <c r="K12" s="9">
        <v>37000</v>
      </c>
      <c r="L12" s="9">
        <v>53000</v>
      </c>
      <c r="M12" s="9">
        <v>88000</v>
      </c>
      <c r="N12" s="137">
        <v>52000</v>
      </c>
      <c r="O12" s="9">
        <v>9000</v>
      </c>
      <c r="P12" s="9">
        <v>7000</v>
      </c>
      <c r="Q12" s="9">
        <v>2000</v>
      </c>
      <c r="R12" s="13" t="s">
        <v>191</v>
      </c>
      <c r="S12" s="9">
        <v>9000</v>
      </c>
      <c r="T12" s="104">
        <v>225000</v>
      </c>
      <c r="U12" s="9">
        <v>59000</v>
      </c>
      <c r="V12" s="9">
        <v>32000</v>
      </c>
      <c r="W12" s="9">
        <v>27000</v>
      </c>
      <c r="X12" s="13" t="s">
        <v>191</v>
      </c>
      <c r="Y12" s="9">
        <v>42000</v>
      </c>
    </row>
    <row r="13" spans="1:26" ht="12.45" customHeight="1">
      <c r="A13" s="12" t="s">
        <v>571</v>
      </c>
      <c r="B13" s="119">
        <v>1128000</v>
      </c>
      <c r="C13" s="9">
        <v>520000</v>
      </c>
      <c r="D13" s="9">
        <v>111000</v>
      </c>
      <c r="E13" s="9">
        <v>114000</v>
      </c>
      <c r="F13" s="9">
        <v>127000</v>
      </c>
      <c r="G13" s="9">
        <v>255000</v>
      </c>
      <c r="H13" s="143">
        <v>541000</v>
      </c>
      <c r="I13" s="9">
        <v>213000</v>
      </c>
      <c r="J13" s="9">
        <v>44000</v>
      </c>
      <c r="K13" s="9">
        <v>50000</v>
      </c>
      <c r="L13" s="9">
        <v>34000</v>
      </c>
      <c r="M13" s="9">
        <v>95000</v>
      </c>
      <c r="N13" s="137">
        <v>84000</v>
      </c>
      <c r="O13" s="9">
        <v>30000</v>
      </c>
      <c r="P13" s="9">
        <v>11000</v>
      </c>
      <c r="Q13" s="9">
        <v>5000</v>
      </c>
      <c r="R13" s="13" t="s">
        <v>191</v>
      </c>
      <c r="S13" s="9">
        <v>12000</v>
      </c>
      <c r="T13" s="104">
        <v>387000</v>
      </c>
      <c r="U13" s="9">
        <v>137000</v>
      </c>
      <c r="V13" s="9">
        <v>32000</v>
      </c>
      <c r="W13" s="9">
        <v>20000</v>
      </c>
      <c r="X13" s="9">
        <v>23000</v>
      </c>
      <c r="Y13" s="9">
        <v>68000</v>
      </c>
    </row>
    <row r="14" spans="1:26" ht="12.45" customHeight="1">
      <c r="A14" s="12" t="s">
        <v>572</v>
      </c>
      <c r="B14" s="119">
        <v>367000</v>
      </c>
      <c r="C14" s="9">
        <v>186000</v>
      </c>
      <c r="D14" s="9">
        <v>33000</v>
      </c>
      <c r="E14" s="9">
        <v>48000</v>
      </c>
      <c r="F14" s="9">
        <v>25000</v>
      </c>
      <c r="G14" s="9">
        <v>75000</v>
      </c>
      <c r="H14" s="143">
        <v>333000</v>
      </c>
      <c r="I14" s="9">
        <v>128000</v>
      </c>
      <c r="J14" s="9">
        <v>30000</v>
      </c>
      <c r="K14" s="9">
        <v>30000</v>
      </c>
      <c r="L14" s="9">
        <v>27000</v>
      </c>
      <c r="M14" s="9">
        <v>53000</v>
      </c>
      <c r="N14" s="137">
        <v>37000</v>
      </c>
      <c r="O14" s="9">
        <v>15000</v>
      </c>
      <c r="P14" s="9">
        <v>5000</v>
      </c>
      <c r="Q14" s="13" t="s">
        <v>191</v>
      </c>
      <c r="R14" s="13" t="s">
        <v>191</v>
      </c>
      <c r="S14" s="13" t="s">
        <v>191</v>
      </c>
      <c r="T14" s="104">
        <v>250000</v>
      </c>
      <c r="U14" s="9">
        <v>93000</v>
      </c>
      <c r="V14" s="9">
        <v>13000</v>
      </c>
      <c r="W14" s="13" t="s">
        <v>191</v>
      </c>
      <c r="X14" s="9">
        <v>11000</v>
      </c>
      <c r="Y14" s="9">
        <v>47000</v>
      </c>
    </row>
    <row r="15" spans="1:26" ht="12.45" customHeight="1">
      <c r="A15" s="12" t="s">
        <v>564</v>
      </c>
      <c r="B15" s="119">
        <v>183000</v>
      </c>
      <c r="C15" s="9">
        <v>121000</v>
      </c>
      <c r="D15" s="13" t="s">
        <v>191</v>
      </c>
      <c r="E15" s="9">
        <v>19000</v>
      </c>
      <c r="F15" s="9">
        <v>13000</v>
      </c>
      <c r="G15" s="9">
        <v>24000</v>
      </c>
      <c r="H15" s="143">
        <v>155000</v>
      </c>
      <c r="I15" s="9">
        <v>83000</v>
      </c>
      <c r="J15" s="9">
        <v>13000</v>
      </c>
      <c r="K15" s="9">
        <v>12000</v>
      </c>
      <c r="L15" s="13" t="s">
        <v>191</v>
      </c>
      <c r="M15" s="9">
        <v>16000</v>
      </c>
      <c r="N15" s="137">
        <v>21000</v>
      </c>
      <c r="O15" s="9">
        <v>11000</v>
      </c>
      <c r="P15" s="13" t="s">
        <v>191</v>
      </c>
      <c r="Q15" s="13" t="s">
        <v>220</v>
      </c>
      <c r="R15" s="13" t="s">
        <v>220</v>
      </c>
      <c r="S15" s="13" t="s">
        <v>191</v>
      </c>
      <c r="T15" s="104">
        <v>320000</v>
      </c>
      <c r="U15" s="9">
        <v>198000</v>
      </c>
      <c r="V15" s="9">
        <v>11000</v>
      </c>
      <c r="W15" s="9">
        <v>8000</v>
      </c>
      <c r="X15" s="13" t="s">
        <v>191</v>
      </c>
      <c r="Y15" s="9">
        <v>22000</v>
      </c>
    </row>
    <row r="16" spans="1:26" ht="12.45" customHeight="1">
      <c r="A16" s="12" t="s">
        <v>565</v>
      </c>
      <c r="B16" s="119">
        <v>102000</v>
      </c>
      <c r="C16" s="9">
        <v>51000</v>
      </c>
      <c r="D16" s="9">
        <v>25000</v>
      </c>
      <c r="E16" s="13" t="s">
        <v>191</v>
      </c>
      <c r="F16" s="9">
        <v>4000</v>
      </c>
      <c r="G16" s="9">
        <v>17000</v>
      </c>
      <c r="H16" s="143">
        <v>105000</v>
      </c>
      <c r="I16" s="9">
        <v>51000</v>
      </c>
      <c r="J16" s="9">
        <v>7000</v>
      </c>
      <c r="K16" s="9">
        <v>9000</v>
      </c>
      <c r="L16" s="9">
        <v>4000</v>
      </c>
      <c r="M16" s="9">
        <v>18000</v>
      </c>
      <c r="N16" s="137">
        <v>24000</v>
      </c>
      <c r="O16" s="9">
        <v>10000</v>
      </c>
      <c r="P16" s="13" t="s">
        <v>220</v>
      </c>
      <c r="Q16" s="13" t="s">
        <v>220</v>
      </c>
      <c r="R16" s="13" t="s">
        <v>220</v>
      </c>
      <c r="S16" s="13" t="s">
        <v>191</v>
      </c>
      <c r="T16" s="104">
        <v>152000</v>
      </c>
      <c r="U16" s="9">
        <v>58000</v>
      </c>
      <c r="V16" s="9">
        <v>10000</v>
      </c>
      <c r="W16" s="9">
        <v>13000</v>
      </c>
      <c r="X16" s="13" t="s">
        <v>220</v>
      </c>
      <c r="Y16" s="9">
        <v>20000</v>
      </c>
    </row>
    <row r="17" spans="1:25" ht="12.45" customHeight="1">
      <c r="A17" s="12" t="s">
        <v>566</v>
      </c>
      <c r="B17" s="119">
        <v>138000</v>
      </c>
      <c r="C17" s="9">
        <v>45000</v>
      </c>
      <c r="D17" s="9">
        <v>12000</v>
      </c>
      <c r="E17" s="9">
        <v>21000</v>
      </c>
      <c r="F17" s="9">
        <v>11000</v>
      </c>
      <c r="G17" s="9">
        <v>49000</v>
      </c>
      <c r="H17" s="143">
        <v>54000</v>
      </c>
      <c r="I17" s="9">
        <v>15000</v>
      </c>
      <c r="J17" s="9">
        <v>3000</v>
      </c>
      <c r="K17" s="9">
        <v>1000</v>
      </c>
      <c r="L17" s="9">
        <v>8000</v>
      </c>
      <c r="M17" s="9">
        <v>13000</v>
      </c>
      <c r="N17" s="137">
        <v>2000</v>
      </c>
      <c r="O17" s="13" t="s">
        <v>222</v>
      </c>
      <c r="P17" s="13" t="s">
        <v>220</v>
      </c>
      <c r="Q17" s="13" t="s">
        <v>220</v>
      </c>
      <c r="R17" s="13" t="s">
        <v>220</v>
      </c>
      <c r="S17" s="13" t="s">
        <v>220</v>
      </c>
      <c r="T17" s="104">
        <v>50000</v>
      </c>
      <c r="U17" s="9">
        <v>16000</v>
      </c>
      <c r="V17" s="13" t="s">
        <v>220</v>
      </c>
      <c r="W17" s="13" t="s">
        <v>220</v>
      </c>
      <c r="X17" s="13" t="s">
        <v>220</v>
      </c>
      <c r="Y17" s="13" t="s">
        <v>220</v>
      </c>
    </row>
    <row r="18" spans="1:25" ht="12.45" customHeight="1">
      <c r="A18" s="10" t="s">
        <v>573</v>
      </c>
      <c r="B18" s="187"/>
      <c r="C18" s="53"/>
      <c r="D18" s="53"/>
      <c r="E18" s="53"/>
      <c r="F18" s="53"/>
      <c r="G18" s="53"/>
      <c r="H18" s="188"/>
      <c r="I18" s="53"/>
      <c r="J18" s="53"/>
      <c r="K18" s="53"/>
      <c r="L18" s="53"/>
      <c r="M18" s="53"/>
      <c r="N18" s="189"/>
      <c r="O18" s="53"/>
      <c r="P18" s="53"/>
      <c r="Q18" s="53"/>
      <c r="R18" s="53"/>
      <c r="S18" s="53"/>
      <c r="T18" s="190"/>
      <c r="U18" s="53"/>
      <c r="V18" s="53"/>
      <c r="W18" s="53"/>
      <c r="X18" s="53"/>
      <c r="Y18" s="53"/>
    </row>
    <row r="19" spans="1:25" ht="12.45" customHeight="1">
      <c r="A19" s="12" t="s">
        <v>568</v>
      </c>
      <c r="B19" s="119">
        <v>716000</v>
      </c>
      <c r="C19" s="9">
        <v>307000</v>
      </c>
      <c r="D19" s="9">
        <v>95000</v>
      </c>
      <c r="E19" s="9">
        <v>84000</v>
      </c>
      <c r="F19" s="9">
        <v>68000</v>
      </c>
      <c r="G19" s="9">
        <v>162000</v>
      </c>
      <c r="H19" s="143">
        <v>311000</v>
      </c>
      <c r="I19" s="9">
        <v>95000</v>
      </c>
      <c r="J19" s="9">
        <v>44000</v>
      </c>
      <c r="K19" s="9">
        <v>19000</v>
      </c>
      <c r="L19" s="9">
        <v>24000</v>
      </c>
      <c r="M19" s="9">
        <v>64000</v>
      </c>
      <c r="N19" s="137">
        <v>47000</v>
      </c>
      <c r="O19" s="9">
        <v>15000</v>
      </c>
      <c r="P19" s="9">
        <v>4000</v>
      </c>
      <c r="Q19" s="13" t="s">
        <v>222</v>
      </c>
      <c r="R19" s="13" t="s">
        <v>191</v>
      </c>
      <c r="S19" s="9">
        <v>6000</v>
      </c>
      <c r="T19" s="104">
        <v>174000</v>
      </c>
      <c r="U19" s="9">
        <v>58000</v>
      </c>
      <c r="V19" s="13" t="s">
        <v>191</v>
      </c>
      <c r="W19" s="13" t="s">
        <v>191</v>
      </c>
      <c r="X19" s="13" t="s">
        <v>191</v>
      </c>
      <c r="Y19" s="9">
        <v>16000</v>
      </c>
    </row>
    <row r="20" spans="1:25" ht="12.45" customHeight="1">
      <c r="A20" s="12" t="s">
        <v>569</v>
      </c>
      <c r="B20" s="119">
        <v>1525000</v>
      </c>
      <c r="C20" s="9">
        <v>594000</v>
      </c>
      <c r="D20" s="9">
        <v>252000</v>
      </c>
      <c r="E20" s="9">
        <v>177000</v>
      </c>
      <c r="F20" s="9">
        <v>185000</v>
      </c>
      <c r="G20" s="9">
        <v>317000</v>
      </c>
      <c r="H20" s="143">
        <v>737000</v>
      </c>
      <c r="I20" s="9">
        <v>232000</v>
      </c>
      <c r="J20" s="9">
        <v>89000</v>
      </c>
      <c r="K20" s="9">
        <v>85000</v>
      </c>
      <c r="L20" s="9">
        <v>53000</v>
      </c>
      <c r="M20" s="9">
        <v>147000</v>
      </c>
      <c r="N20" s="137">
        <v>88000</v>
      </c>
      <c r="O20" s="9">
        <v>31000</v>
      </c>
      <c r="P20" s="9">
        <v>14000</v>
      </c>
      <c r="Q20" s="9">
        <v>4000</v>
      </c>
      <c r="R20" s="13" t="s">
        <v>191</v>
      </c>
      <c r="S20" s="9">
        <v>10000</v>
      </c>
      <c r="T20" s="104">
        <v>362000</v>
      </c>
      <c r="U20" s="9">
        <v>91000</v>
      </c>
      <c r="V20" s="9">
        <v>51000</v>
      </c>
      <c r="W20" s="9">
        <v>37000</v>
      </c>
      <c r="X20" s="9">
        <v>28000</v>
      </c>
      <c r="Y20" s="9">
        <v>80000</v>
      </c>
    </row>
    <row r="21" spans="1:25" ht="12.45" customHeight="1">
      <c r="A21" s="81" t="s">
        <v>570</v>
      </c>
      <c r="B21" s="119">
        <v>1143000</v>
      </c>
      <c r="C21" s="9">
        <v>411000</v>
      </c>
      <c r="D21" s="9">
        <v>174000</v>
      </c>
      <c r="E21" s="9">
        <v>115000</v>
      </c>
      <c r="F21" s="9">
        <v>109000</v>
      </c>
      <c r="G21" s="9">
        <v>334000</v>
      </c>
      <c r="H21" s="143">
        <v>591000</v>
      </c>
      <c r="I21" s="9">
        <v>210000</v>
      </c>
      <c r="J21" s="9">
        <v>61000</v>
      </c>
      <c r="K21" s="9">
        <v>47000</v>
      </c>
      <c r="L21" s="9">
        <v>67000</v>
      </c>
      <c r="M21" s="9">
        <v>111000</v>
      </c>
      <c r="N21" s="137">
        <v>66000</v>
      </c>
      <c r="O21" s="9">
        <v>15000</v>
      </c>
      <c r="P21" s="9">
        <v>7000</v>
      </c>
      <c r="Q21" s="13" t="s">
        <v>191</v>
      </c>
      <c r="R21" s="13" t="s">
        <v>191</v>
      </c>
      <c r="S21" s="9">
        <v>12000</v>
      </c>
      <c r="T21" s="104">
        <v>362000</v>
      </c>
      <c r="U21" s="9">
        <v>97000</v>
      </c>
      <c r="V21" s="9">
        <v>46000</v>
      </c>
      <c r="W21" s="9">
        <v>32000</v>
      </c>
      <c r="X21" s="9">
        <v>15000</v>
      </c>
      <c r="Y21" s="9">
        <v>64000</v>
      </c>
    </row>
    <row r="22" spans="1:25" ht="12.45" customHeight="1">
      <c r="A22" s="12" t="s">
        <v>571</v>
      </c>
      <c r="B22" s="119">
        <v>1098000</v>
      </c>
      <c r="C22" s="9">
        <v>497000</v>
      </c>
      <c r="D22" s="9">
        <v>80000</v>
      </c>
      <c r="E22" s="9">
        <v>118000</v>
      </c>
      <c r="F22" s="9">
        <v>119000</v>
      </c>
      <c r="G22" s="9">
        <v>284000</v>
      </c>
      <c r="H22" s="143">
        <v>558000</v>
      </c>
      <c r="I22" s="9">
        <v>190000</v>
      </c>
      <c r="J22" s="9">
        <v>46000</v>
      </c>
      <c r="K22" s="9">
        <v>55000</v>
      </c>
      <c r="L22" s="9">
        <v>39000</v>
      </c>
      <c r="M22" s="9">
        <v>101000</v>
      </c>
      <c r="N22" s="137">
        <v>70000</v>
      </c>
      <c r="O22" s="9">
        <v>31000</v>
      </c>
      <c r="P22" s="9">
        <v>5000</v>
      </c>
      <c r="Q22" s="9">
        <v>5000</v>
      </c>
      <c r="R22" s="9">
        <v>3000</v>
      </c>
      <c r="S22" s="9">
        <v>7000</v>
      </c>
      <c r="T22" s="104">
        <v>477000</v>
      </c>
      <c r="U22" s="9">
        <v>242000</v>
      </c>
      <c r="V22" s="9">
        <v>17000</v>
      </c>
      <c r="W22" s="9">
        <v>17000</v>
      </c>
      <c r="X22" s="9">
        <v>18000</v>
      </c>
      <c r="Y22" s="9">
        <v>55000</v>
      </c>
    </row>
    <row r="23" spans="1:25" ht="12.45" customHeight="1">
      <c r="A23" s="12" t="s">
        <v>572</v>
      </c>
      <c r="B23" s="119">
        <v>356000</v>
      </c>
      <c r="C23" s="9">
        <v>178000</v>
      </c>
      <c r="D23" s="9">
        <v>30000</v>
      </c>
      <c r="E23" s="9">
        <v>33000</v>
      </c>
      <c r="F23" s="9">
        <v>26000</v>
      </c>
      <c r="G23" s="9">
        <v>89000</v>
      </c>
      <c r="H23" s="143">
        <v>336000</v>
      </c>
      <c r="I23" s="9">
        <v>143000</v>
      </c>
      <c r="J23" s="9">
        <v>40000</v>
      </c>
      <c r="K23" s="9">
        <v>15000</v>
      </c>
      <c r="L23" s="9">
        <v>23000</v>
      </c>
      <c r="M23" s="9">
        <v>64000</v>
      </c>
      <c r="N23" s="137">
        <v>57000</v>
      </c>
      <c r="O23" s="9">
        <v>23000</v>
      </c>
      <c r="P23" s="13" t="s">
        <v>191</v>
      </c>
      <c r="Q23" s="9">
        <v>3000</v>
      </c>
      <c r="R23" s="13" t="s">
        <v>191</v>
      </c>
      <c r="S23" s="9">
        <v>11000</v>
      </c>
      <c r="T23" s="104">
        <v>262000</v>
      </c>
      <c r="U23" s="9">
        <v>115000</v>
      </c>
      <c r="V23" s="9">
        <v>20000</v>
      </c>
      <c r="W23" s="9">
        <v>12000</v>
      </c>
      <c r="X23" s="9">
        <v>7000</v>
      </c>
      <c r="Y23" s="9">
        <v>54000</v>
      </c>
    </row>
    <row r="24" spans="1:25" ht="12.45" customHeight="1">
      <c r="A24" s="12" t="s">
        <v>564</v>
      </c>
      <c r="B24" s="119">
        <v>60000</v>
      </c>
      <c r="C24" s="9">
        <v>31000</v>
      </c>
      <c r="D24" s="13" t="s">
        <v>220</v>
      </c>
      <c r="E24" s="13" t="s">
        <v>191</v>
      </c>
      <c r="F24" s="13" t="s">
        <v>191</v>
      </c>
      <c r="G24" s="9">
        <v>18000</v>
      </c>
      <c r="H24" s="143">
        <v>37000</v>
      </c>
      <c r="I24" s="9">
        <v>14000</v>
      </c>
      <c r="J24" s="13" t="s">
        <v>191</v>
      </c>
      <c r="K24" s="9">
        <v>3000</v>
      </c>
      <c r="L24" s="9">
        <v>1000</v>
      </c>
      <c r="M24" s="9">
        <v>11000</v>
      </c>
      <c r="N24" s="137">
        <v>10000</v>
      </c>
      <c r="O24" s="13" t="s">
        <v>191</v>
      </c>
      <c r="P24" s="13" t="s">
        <v>220</v>
      </c>
      <c r="Q24" s="13" t="s">
        <v>220</v>
      </c>
      <c r="R24" s="13" t="s">
        <v>220</v>
      </c>
      <c r="S24" s="13" t="s">
        <v>191</v>
      </c>
      <c r="T24" s="104">
        <v>106000</v>
      </c>
      <c r="U24" s="9">
        <v>34000</v>
      </c>
      <c r="V24" s="13" t="s">
        <v>220</v>
      </c>
      <c r="W24" s="13" t="s">
        <v>220</v>
      </c>
      <c r="X24" s="13" t="s">
        <v>220</v>
      </c>
      <c r="Y24" s="13" t="s">
        <v>191</v>
      </c>
    </row>
    <row r="25" spans="1:25" ht="12.45" customHeight="1">
      <c r="A25" s="12" t="s">
        <v>565</v>
      </c>
      <c r="B25" s="119">
        <v>22000</v>
      </c>
      <c r="C25" s="9">
        <v>5000</v>
      </c>
      <c r="D25" s="13" t="s">
        <v>191</v>
      </c>
      <c r="E25" s="13" t="s">
        <v>191</v>
      </c>
      <c r="F25" s="13" t="s">
        <v>220</v>
      </c>
      <c r="G25" s="9">
        <v>7000</v>
      </c>
      <c r="H25" s="143">
        <v>31000</v>
      </c>
      <c r="I25" s="9">
        <v>14000</v>
      </c>
      <c r="J25" s="13" t="s">
        <v>191</v>
      </c>
      <c r="K25" s="13" t="s">
        <v>191</v>
      </c>
      <c r="L25" s="13" t="s">
        <v>220</v>
      </c>
      <c r="M25" s="9">
        <v>6000</v>
      </c>
      <c r="N25" s="137">
        <v>16000</v>
      </c>
      <c r="O25" s="9">
        <v>5000</v>
      </c>
      <c r="P25" s="13" t="s">
        <v>220</v>
      </c>
      <c r="Q25" s="13" t="s">
        <v>220</v>
      </c>
      <c r="R25" s="13" t="s">
        <v>220</v>
      </c>
      <c r="S25" s="13" t="s">
        <v>191</v>
      </c>
      <c r="T25" s="104">
        <v>50000</v>
      </c>
      <c r="U25" s="9">
        <v>27000</v>
      </c>
      <c r="V25" s="13" t="s">
        <v>220</v>
      </c>
      <c r="W25" s="13" t="s">
        <v>220</v>
      </c>
      <c r="X25" s="13" t="s">
        <v>220</v>
      </c>
      <c r="Y25" s="13" t="s">
        <v>191</v>
      </c>
    </row>
    <row r="26" spans="1:25" ht="12.45" customHeight="1">
      <c r="A26" s="12" t="s">
        <v>566</v>
      </c>
      <c r="B26" s="119">
        <v>99000</v>
      </c>
      <c r="C26" s="9">
        <v>36000</v>
      </c>
      <c r="D26" s="9">
        <v>10000</v>
      </c>
      <c r="E26" s="9">
        <v>14000</v>
      </c>
      <c r="F26" s="13" t="s">
        <v>191</v>
      </c>
      <c r="G26" s="9">
        <v>36000</v>
      </c>
      <c r="H26" s="143">
        <v>43000</v>
      </c>
      <c r="I26" s="9">
        <v>11000</v>
      </c>
      <c r="J26" s="13" t="s">
        <v>191</v>
      </c>
      <c r="K26" s="13" t="s">
        <v>220</v>
      </c>
      <c r="L26" s="13" t="s">
        <v>220</v>
      </c>
      <c r="M26" s="13" t="s">
        <v>191</v>
      </c>
      <c r="N26" s="137">
        <v>2000</v>
      </c>
      <c r="O26" s="13" t="s">
        <v>222</v>
      </c>
      <c r="P26" s="13" t="s">
        <v>220</v>
      </c>
      <c r="Q26" s="13" t="s">
        <v>220</v>
      </c>
      <c r="R26" s="13" t="s">
        <v>220</v>
      </c>
      <c r="S26" s="13" t="s">
        <v>220</v>
      </c>
      <c r="T26" s="104">
        <v>31000</v>
      </c>
      <c r="U26" s="9">
        <v>4000</v>
      </c>
      <c r="V26" s="13" t="s">
        <v>220</v>
      </c>
      <c r="W26" s="13" t="s">
        <v>220</v>
      </c>
      <c r="X26" s="13" t="s">
        <v>220</v>
      </c>
      <c r="Y26" s="13" t="s">
        <v>220</v>
      </c>
    </row>
    <row r="27" spans="1:25" ht="12.45" customHeight="1">
      <c r="A27" s="8" t="s">
        <v>211</v>
      </c>
      <c r="B27" s="119">
        <v>22838000</v>
      </c>
      <c r="C27" s="9">
        <v>10020000</v>
      </c>
      <c r="D27" s="9">
        <v>3074000</v>
      </c>
      <c r="E27" s="9">
        <v>2638000</v>
      </c>
      <c r="F27" s="9">
        <v>2386000</v>
      </c>
      <c r="G27" s="9">
        <v>4719000</v>
      </c>
      <c r="H27" s="143">
        <v>11950000</v>
      </c>
      <c r="I27" s="9">
        <v>4509000</v>
      </c>
      <c r="J27" s="9">
        <v>1566000</v>
      </c>
      <c r="K27" s="9">
        <v>1150000</v>
      </c>
      <c r="L27" s="9">
        <v>843000</v>
      </c>
      <c r="M27" s="9">
        <v>2095000</v>
      </c>
      <c r="N27" s="137">
        <v>707000</v>
      </c>
      <c r="O27" s="9">
        <v>312000</v>
      </c>
      <c r="P27" s="9">
        <v>110000</v>
      </c>
      <c r="Q27" s="9">
        <v>64000</v>
      </c>
      <c r="R27" s="9">
        <v>27000</v>
      </c>
      <c r="S27" s="9">
        <v>75000</v>
      </c>
      <c r="T27" s="104">
        <v>1900000</v>
      </c>
      <c r="U27" s="9">
        <v>861000</v>
      </c>
      <c r="V27" s="9">
        <v>240000</v>
      </c>
      <c r="W27" s="9">
        <v>223000</v>
      </c>
      <c r="X27" s="9">
        <v>142000</v>
      </c>
      <c r="Y27" s="9">
        <v>234000</v>
      </c>
    </row>
    <row r="28" spans="1:25" ht="12.45" customHeight="1">
      <c r="A28" s="10" t="s">
        <v>567</v>
      </c>
      <c r="B28" s="187"/>
      <c r="C28" s="53"/>
      <c r="D28" s="53"/>
      <c r="E28" s="53"/>
      <c r="F28" s="53"/>
      <c r="G28" s="53"/>
      <c r="H28" s="188"/>
      <c r="I28" s="53"/>
      <c r="J28" s="53"/>
      <c r="K28" s="53"/>
      <c r="L28" s="53"/>
      <c r="M28" s="53"/>
      <c r="N28" s="189"/>
      <c r="O28" s="53"/>
      <c r="P28" s="53"/>
      <c r="Q28" s="53"/>
      <c r="R28" s="53"/>
      <c r="S28" s="53"/>
      <c r="T28" s="190"/>
      <c r="U28" s="53"/>
      <c r="V28" s="53"/>
      <c r="W28" s="53"/>
      <c r="X28" s="53"/>
      <c r="Y28" s="53"/>
    </row>
    <row r="29" spans="1:25" ht="12.45" customHeight="1">
      <c r="A29" s="12" t="s">
        <v>568</v>
      </c>
      <c r="B29" s="119">
        <v>3047000</v>
      </c>
      <c r="C29" s="9">
        <v>1377000</v>
      </c>
      <c r="D29" s="9">
        <v>518000</v>
      </c>
      <c r="E29" s="9">
        <v>413000</v>
      </c>
      <c r="F29" s="9">
        <v>281000</v>
      </c>
      <c r="G29" s="9">
        <v>459000</v>
      </c>
      <c r="H29" s="143">
        <v>1705000</v>
      </c>
      <c r="I29" s="9">
        <v>621000</v>
      </c>
      <c r="J29" s="9">
        <v>261000</v>
      </c>
      <c r="K29" s="9">
        <v>180000</v>
      </c>
      <c r="L29" s="9">
        <v>101000</v>
      </c>
      <c r="M29" s="9">
        <v>213000</v>
      </c>
      <c r="N29" s="137">
        <v>107000</v>
      </c>
      <c r="O29" s="9">
        <v>35000</v>
      </c>
      <c r="P29" s="9">
        <v>24000</v>
      </c>
      <c r="Q29" s="9">
        <v>10000</v>
      </c>
      <c r="R29" s="9">
        <v>5000</v>
      </c>
      <c r="S29" s="9">
        <v>12000</v>
      </c>
      <c r="T29" s="104">
        <v>146000</v>
      </c>
      <c r="U29" s="9">
        <v>46000</v>
      </c>
      <c r="V29" s="9">
        <v>20000</v>
      </c>
      <c r="W29" s="9">
        <v>16000</v>
      </c>
      <c r="X29" s="13" t="s">
        <v>191</v>
      </c>
      <c r="Y29" s="9">
        <v>31000</v>
      </c>
    </row>
    <row r="30" spans="1:25" ht="12.45" customHeight="1">
      <c r="A30" s="12" t="s">
        <v>569</v>
      </c>
      <c r="B30" s="119">
        <v>6110000</v>
      </c>
      <c r="C30" s="9">
        <v>2375000</v>
      </c>
      <c r="D30" s="9">
        <v>913000</v>
      </c>
      <c r="E30" s="9">
        <v>665000</v>
      </c>
      <c r="F30" s="9">
        <v>709000</v>
      </c>
      <c r="G30" s="9">
        <v>1449000</v>
      </c>
      <c r="H30" s="143">
        <v>2859000</v>
      </c>
      <c r="I30" s="9">
        <v>901000</v>
      </c>
      <c r="J30" s="9">
        <v>394000</v>
      </c>
      <c r="K30" s="9">
        <v>266000</v>
      </c>
      <c r="L30" s="9">
        <v>228000</v>
      </c>
      <c r="M30" s="9">
        <v>584000</v>
      </c>
      <c r="N30" s="137">
        <v>151000</v>
      </c>
      <c r="O30" s="9">
        <v>55000</v>
      </c>
      <c r="P30" s="9">
        <v>24000</v>
      </c>
      <c r="Q30" s="9">
        <v>17000</v>
      </c>
      <c r="R30" s="9">
        <v>11000</v>
      </c>
      <c r="S30" s="9">
        <v>12000</v>
      </c>
      <c r="T30" s="104">
        <v>330000</v>
      </c>
      <c r="U30" s="9">
        <v>109000</v>
      </c>
      <c r="V30" s="9">
        <v>52000</v>
      </c>
      <c r="W30" s="9">
        <v>36000</v>
      </c>
      <c r="X30" s="9">
        <v>41000</v>
      </c>
      <c r="Y30" s="9">
        <v>42000</v>
      </c>
    </row>
    <row r="31" spans="1:25" ht="12.45" customHeight="1">
      <c r="A31" s="81" t="s">
        <v>570</v>
      </c>
      <c r="B31" s="119">
        <v>4420000</v>
      </c>
      <c r="C31" s="9">
        <v>1658000</v>
      </c>
      <c r="D31" s="9">
        <v>624000</v>
      </c>
      <c r="E31" s="9">
        <v>566000</v>
      </c>
      <c r="F31" s="9">
        <v>554000</v>
      </c>
      <c r="G31" s="9">
        <v>1017000</v>
      </c>
      <c r="H31" s="143">
        <v>2218000</v>
      </c>
      <c r="I31" s="9">
        <v>718000</v>
      </c>
      <c r="J31" s="9">
        <v>243000</v>
      </c>
      <c r="K31" s="9">
        <v>285000</v>
      </c>
      <c r="L31" s="9">
        <v>239000</v>
      </c>
      <c r="M31" s="9">
        <v>472000</v>
      </c>
      <c r="N31" s="137">
        <v>139000</v>
      </c>
      <c r="O31" s="9">
        <v>53000</v>
      </c>
      <c r="P31" s="9">
        <v>27000</v>
      </c>
      <c r="Q31" s="9">
        <v>22000</v>
      </c>
      <c r="R31" s="9">
        <v>2000</v>
      </c>
      <c r="S31" s="9">
        <v>14000</v>
      </c>
      <c r="T31" s="104">
        <v>339000</v>
      </c>
      <c r="U31" s="9">
        <v>134000</v>
      </c>
      <c r="V31" s="9">
        <v>64000</v>
      </c>
      <c r="W31" s="9">
        <v>62000</v>
      </c>
      <c r="X31" s="9">
        <v>17000</v>
      </c>
      <c r="Y31" s="9">
        <v>39000</v>
      </c>
    </row>
    <row r="32" spans="1:25" ht="12.45" customHeight="1">
      <c r="A32" s="12" t="s">
        <v>571</v>
      </c>
      <c r="B32" s="119">
        <v>4741000</v>
      </c>
      <c r="C32" s="9">
        <v>2373000</v>
      </c>
      <c r="D32" s="9">
        <v>529000</v>
      </c>
      <c r="E32" s="9">
        <v>565000</v>
      </c>
      <c r="F32" s="9">
        <v>432000</v>
      </c>
      <c r="G32" s="9">
        <v>843000</v>
      </c>
      <c r="H32" s="143">
        <v>2289000</v>
      </c>
      <c r="I32" s="9">
        <v>1000000</v>
      </c>
      <c r="J32" s="9">
        <v>311000</v>
      </c>
      <c r="K32" s="9">
        <v>192000</v>
      </c>
      <c r="L32" s="9">
        <v>125000</v>
      </c>
      <c r="M32" s="9">
        <v>329000</v>
      </c>
      <c r="N32" s="137">
        <v>115000</v>
      </c>
      <c r="O32" s="9">
        <v>65000</v>
      </c>
      <c r="P32" s="9">
        <v>14000</v>
      </c>
      <c r="Q32" s="9">
        <v>5000</v>
      </c>
      <c r="R32" s="9">
        <v>3000</v>
      </c>
      <c r="S32" s="9">
        <v>13000</v>
      </c>
      <c r="T32" s="104">
        <v>424000</v>
      </c>
      <c r="U32" s="9">
        <v>192000</v>
      </c>
      <c r="V32" s="9">
        <v>46000</v>
      </c>
      <c r="W32" s="9">
        <v>49000</v>
      </c>
      <c r="X32" s="9">
        <v>43000</v>
      </c>
      <c r="Y32" s="9">
        <v>73000</v>
      </c>
    </row>
    <row r="33" spans="1:25" ht="12.45" customHeight="1">
      <c r="A33" s="12" t="s">
        <v>572</v>
      </c>
      <c r="B33" s="119">
        <v>2368000</v>
      </c>
      <c r="C33" s="9">
        <v>1113000</v>
      </c>
      <c r="D33" s="9">
        <v>280000</v>
      </c>
      <c r="E33" s="9">
        <v>251000</v>
      </c>
      <c r="F33" s="9">
        <v>260000</v>
      </c>
      <c r="G33" s="9">
        <v>464000</v>
      </c>
      <c r="H33" s="143">
        <v>1509000</v>
      </c>
      <c r="I33" s="9">
        <v>643000</v>
      </c>
      <c r="J33" s="9">
        <v>169000</v>
      </c>
      <c r="K33" s="9">
        <v>126000</v>
      </c>
      <c r="L33" s="9">
        <v>79000</v>
      </c>
      <c r="M33" s="9">
        <v>282000</v>
      </c>
      <c r="N33" s="137">
        <v>73000</v>
      </c>
      <c r="O33" s="9">
        <v>37000</v>
      </c>
      <c r="P33" s="9">
        <v>7000</v>
      </c>
      <c r="Q33" s="9">
        <v>5000</v>
      </c>
      <c r="R33" s="9">
        <v>3000</v>
      </c>
      <c r="S33" s="9">
        <v>9000</v>
      </c>
      <c r="T33" s="104">
        <v>230000</v>
      </c>
      <c r="U33" s="9">
        <v>114000</v>
      </c>
      <c r="V33" s="9">
        <v>36000</v>
      </c>
      <c r="W33" s="9">
        <v>17000</v>
      </c>
      <c r="X33" s="9">
        <v>11000</v>
      </c>
      <c r="Y33" s="9">
        <v>25000</v>
      </c>
    </row>
    <row r="34" spans="1:25" ht="12.45" customHeight="1">
      <c r="A34" s="12" t="s">
        <v>564</v>
      </c>
      <c r="B34" s="119">
        <v>836000</v>
      </c>
      <c r="C34" s="9">
        <v>546000</v>
      </c>
      <c r="D34" s="9">
        <v>46000</v>
      </c>
      <c r="E34" s="9">
        <v>48000</v>
      </c>
      <c r="F34" s="9">
        <v>34000</v>
      </c>
      <c r="G34" s="9">
        <v>162000</v>
      </c>
      <c r="H34" s="143">
        <v>547000</v>
      </c>
      <c r="I34" s="9">
        <v>311000</v>
      </c>
      <c r="J34" s="9">
        <v>50000</v>
      </c>
      <c r="K34" s="9">
        <v>24000</v>
      </c>
      <c r="L34" s="9">
        <v>40000</v>
      </c>
      <c r="M34" s="9">
        <v>48000</v>
      </c>
      <c r="N34" s="137">
        <v>51000</v>
      </c>
      <c r="O34" s="9">
        <v>28000</v>
      </c>
      <c r="P34" s="13" t="s">
        <v>191</v>
      </c>
      <c r="Q34" s="9">
        <v>1000</v>
      </c>
      <c r="R34" s="13" t="s">
        <v>220</v>
      </c>
      <c r="S34" s="9">
        <v>5000</v>
      </c>
      <c r="T34" s="104">
        <v>269000</v>
      </c>
      <c r="U34" s="9">
        <v>165000</v>
      </c>
      <c r="V34" s="9">
        <v>11000</v>
      </c>
      <c r="W34" s="9">
        <v>21000</v>
      </c>
      <c r="X34" s="9">
        <v>13000</v>
      </c>
      <c r="Y34" s="9">
        <v>14000</v>
      </c>
    </row>
    <row r="35" spans="1:25" ht="12.45" customHeight="1">
      <c r="A35" s="12" t="s">
        <v>565</v>
      </c>
      <c r="B35" s="119">
        <v>624000</v>
      </c>
      <c r="C35" s="9">
        <v>343000</v>
      </c>
      <c r="D35" s="9">
        <v>74000</v>
      </c>
      <c r="E35" s="9">
        <v>69000</v>
      </c>
      <c r="F35" s="9">
        <v>45000</v>
      </c>
      <c r="G35" s="9">
        <v>93000</v>
      </c>
      <c r="H35" s="143">
        <v>519000</v>
      </c>
      <c r="I35" s="9">
        <v>249000</v>
      </c>
      <c r="J35" s="9">
        <v>99000</v>
      </c>
      <c r="K35" s="9">
        <v>38000</v>
      </c>
      <c r="L35" s="9">
        <v>13000</v>
      </c>
      <c r="M35" s="9">
        <v>73000</v>
      </c>
      <c r="N35" s="137">
        <v>52000</v>
      </c>
      <c r="O35" s="9">
        <v>33000</v>
      </c>
      <c r="P35" s="9">
        <v>7000</v>
      </c>
      <c r="Q35" s="13" t="s">
        <v>191</v>
      </c>
      <c r="R35" s="13" t="s">
        <v>220</v>
      </c>
      <c r="S35" s="9">
        <v>6000</v>
      </c>
      <c r="T35" s="104">
        <v>138000</v>
      </c>
      <c r="U35" s="9">
        <v>89000</v>
      </c>
      <c r="V35" s="9">
        <v>10000</v>
      </c>
      <c r="W35" s="9">
        <v>21000</v>
      </c>
      <c r="X35" s="13" t="s">
        <v>191</v>
      </c>
      <c r="Y35" s="13" t="s">
        <v>191</v>
      </c>
    </row>
    <row r="36" spans="1:25" ht="12.45" customHeight="1">
      <c r="A36" s="12" t="s">
        <v>566</v>
      </c>
      <c r="B36" s="119">
        <v>692000</v>
      </c>
      <c r="C36" s="9">
        <v>235000</v>
      </c>
      <c r="D36" s="9">
        <v>90000</v>
      </c>
      <c r="E36" s="9">
        <v>62000</v>
      </c>
      <c r="F36" s="9">
        <v>72000</v>
      </c>
      <c r="G36" s="9">
        <v>233000</v>
      </c>
      <c r="H36" s="143">
        <v>304000</v>
      </c>
      <c r="I36" s="9">
        <v>65000</v>
      </c>
      <c r="J36" s="9">
        <v>39000</v>
      </c>
      <c r="K36" s="9">
        <v>39000</v>
      </c>
      <c r="L36" s="9">
        <v>18000</v>
      </c>
      <c r="M36" s="9">
        <v>94000</v>
      </c>
      <c r="N36" s="137">
        <v>18000</v>
      </c>
      <c r="O36" s="9">
        <v>6000</v>
      </c>
      <c r="P36" s="13" t="s">
        <v>220</v>
      </c>
      <c r="Q36" s="13" t="s">
        <v>220</v>
      </c>
      <c r="R36" s="13" t="s">
        <v>220</v>
      </c>
      <c r="S36" s="13" t="s">
        <v>220</v>
      </c>
      <c r="T36" s="104">
        <v>23000</v>
      </c>
      <c r="U36" s="9">
        <v>13000</v>
      </c>
      <c r="V36" s="13" t="s">
        <v>220</v>
      </c>
      <c r="W36" s="13" t="s">
        <v>220</v>
      </c>
      <c r="X36" s="13" t="s">
        <v>220</v>
      </c>
      <c r="Y36" s="13" t="s">
        <v>191</v>
      </c>
    </row>
    <row r="37" spans="1:25" ht="12.45" customHeight="1">
      <c r="A37" s="10" t="s">
        <v>573</v>
      </c>
      <c r="B37" s="187"/>
      <c r="C37" s="53"/>
      <c r="D37" s="53"/>
      <c r="E37" s="53"/>
      <c r="F37" s="53"/>
      <c r="G37" s="53"/>
      <c r="H37" s="188"/>
      <c r="I37" s="53"/>
      <c r="J37" s="53"/>
      <c r="K37" s="53"/>
      <c r="L37" s="53"/>
      <c r="M37" s="53"/>
      <c r="N37" s="189"/>
      <c r="O37" s="53"/>
      <c r="P37" s="53"/>
      <c r="Q37" s="53"/>
      <c r="R37" s="53"/>
      <c r="S37" s="53"/>
      <c r="T37" s="190"/>
      <c r="U37" s="53"/>
      <c r="V37" s="53"/>
      <c r="W37" s="53"/>
      <c r="X37" s="53"/>
      <c r="Y37" s="53"/>
    </row>
    <row r="38" spans="1:25" ht="12.45" customHeight="1">
      <c r="A38" s="12" t="s">
        <v>568</v>
      </c>
      <c r="B38" s="119">
        <v>2914000</v>
      </c>
      <c r="C38" s="9">
        <v>1336000</v>
      </c>
      <c r="D38" s="9">
        <v>551000</v>
      </c>
      <c r="E38" s="9">
        <v>363000</v>
      </c>
      <c r="F38" s="9">
        <v>202000</v>
      </c>
      <c r="G38" s="9">
        <v>462000</v>
      </c>
      <c r="H38" s="143">
        <v>1481000</v>
      </c>
      <c r="I38" s="9">
        <v>574000</v>
      </c>
      <c r="J38" s="9">
        <v>244000</v>
      </c>
      <c r="K38" s="9">
        <v>142000</v>
      </c>
      <c r="L38" s="9">
        <v>90000</v>
      </c>
      <c r="M38" s="9">
        <v>150000</v>
      </c>
      <c r="N38" s="137">
        <v>106000</v>
      </c>
      <c r="O38" s="9">
        <v>36000</v>
      </c>
      <c r="P38" s="9">
        <v>13000</v>
      </c>
      <c r="Q38" s="9">
        <v>15000</v>
      </c>
      <c r="R38" s="9">
        <v>4000</v>
      </c>
      <c r="S38" s="9">
        <v>10000</v>
      </c>
      <c r="T38" s="104">
        <v>154000</v>
      </c>
      <c r="U38" s="9">
        <v>50000</v>
      </c>
      <c r="V38" s="9">
        <v>16000</v>
      </c>
      <c r="W38" s="9">
        <v>10000</v>
      </c>
      <c r="X38" s="9">
        <v>20000</v>
      </c>
      <c r="Y38" s="9">
        <v>29000</v>
      </c>
    </row>
    <row r="39" spans="1:25" ht="12.45" customHeight="1">
      <c r="A39" s="12" t="s">
        <v>569</v>
      </c>
      <c r="B39" s="119">
        <v>7321000</v>
      </c>
      <c r="C39" s="9">
        <v>3102000</v>
      </c>
      <c r="D39" s="9">
        <v>1091000</v>
      </c>
      <c r="E39" s="9">
        <v>825000</v>
      </c>
      <c r="F39" s="9">
        <v>813000</v>
      </c>
      <c r="G39" s="9">
        <v>1491000</v>
      </c>
      <c r="H39" s="143">
        <v>3525000</v>
      </c>
      <c r="I39" s="9">
        <v>1210000</v>
      </c>
      <c r="J39" s="9">
        <v>474000</v>
      </c>
      <c r="K39" s="9">
        <v>363000</v>
      </c>
      <c r="L39" s="9">
        <v>263000</v>
      </c>
      <c r="M39" s="9">
        <v>636000</v>
      </c>
      <c r="N39" s="137">
        <v>179000</v>
      </c>
      <c r="O39" s="9">
        <v>65000</v>
      </c>
      <c r="P39" s="9">
        <v>31000</v>
      </c>
      <c r="Q39" s="9">
        <v>22000</v>
      </c>
      <c r="R39" s="9">
        <v>7000</v>
      </c>
      <c r="S39" s="9">
        <v>9000</v>
      </c>
      <c r="T39" s="104">
        <v>416000</v>
      </c>
      <c r="U39" s="9">
        <v>126000</v>
      </c>
      <c r="V39" s="9">
        <v>85000</v>
      </c>
      <c r="W39" s="9">
        <v>54000</v>
      </c>
      <c r="X39" s="9">
        <v>42000</v>
      </c>
      <c r="Y39" s="9">
        <v>48000</v>
      </c>
    </row>
  </sheetData>
  <mergeCells count="6">
    <mergeCell ref="A1:Z1"/>
    <mergeCell ref="A3:A4"/>
    <mergeCell ref="B3:G3"/>
    <mergeCell ref="H3:M3"/>
    <mergeCell ref="N3:S3"/>
    <mergeCell ref="T3:Y3"/>
  </mergeCell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Z12"/>
  <sheetViews>
    <sheetView topLeftCell="Q1" workbookViewId="0">
      <selection activeCell="A4" sqref="A4:Z11"/>
    </sheetView>
  </sheetViews>
  <sheetFormatPr defaultRowHeight="13.2"/>
  <cols>
    <col min="1" max="1" width="81.77734375" customWidth="1"/>
    <col min="2" max="3" width="14.44140625" customWidth="1"/>
    <col min="4" max="4" width="14.77734375" customWidth="1"/>
    <col min="5" max="6" width="21.109375" customWidth="1"/>
    <col min="7" max="7" width="20.6640625" customWidth="1"/>
    <col min="8" max="8" width="14.44140625" customWidth="1"/>
    <col min="9" max="9" width="12.77734375" customWidth="1"/>
    <col min="10" max="10" width="14.77734375" customWidth="1"/>
    <col min="11" max="12" width="21.109375" customWidth="1"/>
    <col min="13" max="13" width="20.6640625" customWidth="1"/>
    <col min="14" max="14" width="12.6640625" customWidth="1"/>
    <col min="15" max="15" width="12.77734375" customWidth="1"/>
    <col min="16" max="16" width="14.77734375" customWidth="1"/>
    <col min="17" max="18" width="21.109375" customWidth="1"/>
    <col min="19" max="19" width="20.6640625" customWidth="1"/>
    <col min="20" max="21" width="12.77734375" customWidth="1"/>
    <col min="22" max="22" width="14.77734375" customWidth="1"/>
    <col min="23" max="24" width="21.109375" customWidth="1"/>
    <col min="25" max="25" width="20.6640625" customWidth="1"/>
    <col min="26" max="26" width="3.109375" customWidth="1"/>
  </cols>
  <sheetData>
    <row r="1" spans="1:26" ht="42.75" customHeight="1">
      <c r="A1" s="321" t="s">
        <v>558</v>
      </c>
      <c r="B1" s="321"/>
      <c r="C1" s="321"/>
      <c r="D1" s="321"/>
      <c r="E1" s="321"/>
      <c r="F1" s="321"/>
      <c r="G1" s="321"/>
      <c r="H1" s="321"/>
      <c r="I1" s="321"/>
      <c r="J1" s="321"/>
      <c r="K1" s="321"/>
      <c r="L1" s="321"/>
      <c r="M1" s="321"/>
      <c r="N1" s="321"/>
      <c r="O1" s="321"/>
      <c r="P1" s="321"/>
      <c r="Q1" s="321"/>
      <c r="R1" s="321"/>
      <c r="S1" s="321"/>
      <c r="T1" s="321"/>
      <c r="U1" s="321"/>
      <c r="V1" s="321"/>
      <c r="W1" s="321"/>
      <c r="X1" s="321"/>
      <c r="Y1" s="321"/>
      <c r="Z1" s="321"/>
    </row>
    <row r="2" spans="1:26" ht="13.95" customHeight="1">
      <c r="A2" s="339" t="s">
        <v>559</v>
      </c>
      <c r="B2" s="358" t="s">
        <v>218</v>
      </c>
      <c r="C2" s="359"/>
      <c r="D2" s="359"/>
      <c r="E2" s="359"/>
      <c r="F2" s="359"/>
      <c r="G2" s="360"/>
      <c r="H2" s="361" t="s">
        <v>219</v>
      </c>
      <c r="I2" s="362"/>
      <c r="J2" s="362"/>
      <c r="K2" s="362"/>
      <c r="L2" s="362"/>
      <c r="M2" s="363"/>
      <c r="N2" s="364" t="s">
        <v>221</v>
      </c>
      <c r="O2" s="365"/>
      <c r="P2" s="365"/>
      <c r="Q2" s="365"/>
      <c r="R2" s="365"/>
      <c r="S2" s="366"/>
      <c r="T2" s="367" t="s">
        <v>223</v>
      </c>
      <c r="U2" s="368"/>
      <c r="V2" s="368"/>
      <c r="W2" s="368"/>
      <c r="X2" s="368"/>
      <c r="Y2" s="369"/>
    </row>
    <row r="3" spans="1:26" ht="13.95" customHeight="1">
      <c r="A3" s="341"/>
      <c r="B3" s="168" t="s">
        <v>167</v>
      </c>
      <c r="C3" s="80">
        <v>0</v>
      </c>
      <c r="D3" s="61" t="s">
        <v>560</v>
      </c>
      <c r="E3" s="61" t="s">
        <v>561</v>
      </c>
      <c r="F3" s="61" t="s">
        <v>562</v>
      </c>
      <c r="G3" s="5" t="s">
        <v>563</v>
      </c>
      <c r="H3" s="171" t="s">
        <v>167</v>
      </c>
      <c r="I3" s="80">
        <v>0</v>
      </c>
      <c r="J3" s="61" t="s">
        <v>560</v>
      </c>
      <c r="K3" s="61" t="s">
        <v>561</v>
      </c>
      <c r="L3" s="61" t="s">
        <v>562</v>
      </c>
      <c r="M3" s="5" t="s">
        <v>563</v>
      </c>
      <c r="N3" s="174" t="s">
        <v>167</v>
      </c>
      <c r="O3" s="80">
        <v>0</v>
      </c>
      <c r="P3" s="61" t="s">
        <v>560</v>
      </c>
      <c r="Q3" s="61" t="s">
        <v>561</v>
      </c>
      <c r="R3" s="61" t="s">
        <v>562</v>
      </c>
      <c r="S3" s="5" t="s">
        <v>563</v>
      </c>
      <c r="T3" s="108" t="s">
        <v>167</v>
      </c>
      <c r="U3" s="80">
        <v>0</v>
      </c>
      <c r="V3" s="61" t="s">
        <v>560</v>
      </c>
      <c r="W3" s="61" t="s">
        <v>561</v>
      </c>
      <c r="X3" s="61" t="s">
        <v>562</v>
      </c>
      <c r="Y3" s="5" t="s">
        <v>563</v>
      </c>
    </row>
    <row r="4" spans="1:26" ht="12.45" customHeight="1">
      <c r="A4" s="18" t="s">
        <v>570</v>
      </c>
      <c r="B4" s="169">
        <v>5073000</v>
      </c>
      <c r="C4" s="7">
        <v>1981000</v>
      </c>
      <c r="D4" s="7">
        <v>704000</v>
      </c>
      <c r="E4" s="7">
        <v>682000</v>
      </c>
      <c r="F4" s="7">
        <v>588000</v>
      </c>
      <c r="G4" s="7">
        <v>1119000</v>
      </c>
      <c r="H4" s="172">
        <v>2660000</v>
      </c>
      <c r="I4" s="7">
        <v>966000</v>
      </c>
      <c r="J4" s="7">
        <v>374000</v>
      </c>
      <c r="K4" s="7">
        <v>294000</v>
      </c>
      <c r="L4" s="7">
        <v>213000</v>
      </c>
      <c r="M4" s="7">
        <v>522000</v>
      </c>
      <c r="N4" s="175">
        <v>143000</v>
      </c>
      <c r="O4" s="7">
        <v>64000</v>
      </c>
      <c r="P4" s="7">
        <v>31000</v>
      </c>
      <c r="Q4" s="7">
        <v>11000</v>
      </c>
      <c r="R4" s="7">
        <v>5000</v>
      </c>
      <c r="S4" s="7">
        <v>18000</v>
      </c>
      <c r="T4" s="177">
        <v>413000</v>
      </c>
      <c r="U4" s="7">
        <v>205000</v>
      </c>
      <c r="V4" s="7">
        <v>43000</v>
      </c>
      <c r="W4" s="7">
        <v>53000</v>
      </c>
      <c r="X4" s="7">
        <v>33000</v>
      </c>
      <c r="Y4" s="7">
        <v>46000</v>
      </c>
    </row>
    <row r="5" spans="1:26" ht="12.45" customHeight="1">
      <c r="A5" s="12" t="s">
        <v>571</v>
      </c>
      <c r="B5" s="119">
        <v>5018000</v>
      </c>
      <c r="C5" s="9">
        <v>2487000</v>
      </c>
      <c r="D5" s="9">
        <v>496000</v>
      </c>
      <c r="E5" s="9">
        <v>528000</v>
      </c>
      <c r="F5" s="9">
        <v>478000</v>
      </c>
      <c r="G5" s="9">
        <v>1029000</v>
      </c>
      <c r="H5" s="143">
        <v>2341000</v>
      </c>
      <c r="I5" s="9">
        <v>1003000</v>
      </c>
      <c r="J5" s="9">
        <v>268000</v>
      </c>
      <c r="K5" s="9">
        <v>186000</v>
      </c>
      <c r="L5" s="9">
        <v>137000</v>
      </c>
      <c r="M5" s="9">
        <v>423000</v>
      </c>
      <c r="N5" s="137">
        <v>132000</v>
      </c>
      <c r="O5" s="9">
        <v>66000</v>
      </c>
      <c r="P5" s="9">
        <v>20000</v>
      </c>
      <c r="Q5" s="9">
        <v>8000</v>
      </c>
      <c r="R5" s="9">
        <v>8000</v>
      </c>
      <c r="S5" s="9">
        <v>18000</v>
      </c>
      <c r="T5" s="104">
        <v>532000</v>
      </c>
      <c r="U5" s="9">
        <v>250000</v>
      </c>
      <c r="V5" s="9">
        <v>52000</v>
      </c>
      <c r="W5" s="9">
        <v>84000</v>
      </c>
      <c r="X5" s="9">
        <v>28000</v>
      </c>
      <c r="Y5" s="9">
        <v>65000</v>
      </c>
    </row>
    <row r="6" spans="1:26" ht="12.45" customHeight="1">
      <c r="A6" s="12" t="s">
        <v>572</v>
      </c>
      <c r="B6" s="119">
        <v>1799000</v>
      </c>
      <c r="C6" s="9">
        <v>789000</v>
      </c>
      <c r="D6" s="9">
        <v>179000</v>
      </c>
      <c r="E6" s="9">
        <v>182000</v>
      </c>
      <c r="F6" s="9">
        <v>213000</v>
      </c>
      <c r="G6" s="9">
        <v>435000</v>
      </c>
      <c r="H6" s="143">
        <v>1464000</v>
      </c>
      <c r="I6" s="9">
        <v>562000</v>
      </c>
      <c r="J6" s="9">
        <v>163000</v>
      </c>
      <c r="K6" s="9">
        <v>129000</v>
      </c>
      <c r="L6" s="9">
        <v>120000</v>
      </c>
      <c r="M6" s="9">
        <v>279000</v>
      </c>
      <c r="N6" s="137">
        <v>106000</v>
      </c>
      <c r="O6" s="9">
        <v>59000</v>
      </c>
      <c r="P6" s="9">
        <v>11000</v>
      </c>
      <c r="Q6" s="9">
        <v>7000</v>
      </c>
      <c r="R6" s="9">
        <v>2000</v>
      </c>
      <c r="S6" s="9">
        <v>14000</v>
      </c>
      <c r="T6" s="104">
        <v>255000</v>
      </c>
      <c r="U6" s="9">
        <v>138000</v>
      </c>
      <c r="V6" s="9">
        <v>39000</v>
      </c>
      <c r="W6" s="9">
        <v>17000</v>
      </c>
      <c r="X6" s="9">
        <v>11000</v>
      </c>
      <c r="Y6" s="9">
        <v>38000</v>
      </c>
    </row>
    <row r="7" spans="1:26" ht="12.45" customHeight="1">
      <c r="A7" s="12" t="s">
        <v>564</v>
      </c>
      <c r="B7" s="119">
        <v>211000</v>
      </c>
      <c r="C7" s="9">
        <v>99000</v>
      </c>
      <c r="D7" s="9">
        <v>22000</v>
      </c>
      <c r="E7" s="13" t="s">
        <v>191</v>
      </c>
      <c r="F7" s="9">
        <v>30000</v>
      </c>
      <c r="G7" s="9">
        <v>50000</v>
      </c>
      <c r="H7" s="143">
        <v>143000</v>
      </c>
      <c r="I7" s="9">
        <v>79000</v>
      </c>
      <c r="J7" s="9">
        <v>22000</v>
      </c>
      <c r="K7" s="13" t="s">
        <v>191</v>
      </c>
      <c r="L7" s="13" t="s">
        <v>191</v>
      </c>
      <c r="M7" s="9">
        <v>18000</v>
      </c>
      <c r="N7" s="137">
        <v>17000</v>
      </c>
      <c r="O7" s="9">
        <v>8000</v>
      </c>
      <c r="P7" s="13" t="s">
        <v>220</v>
      </c>
      <c r="Q7" s="13" t="s">
        <v>220</v>
      </c>
      <c r="R7" s="13" t="s">
        <v>220</v>
      </c>
      <c r="S7" s="13" t="s">
        <v>220</v>
      </c>
      <c r="T7" s="104">
        <v>65000</v>
      </c>
      <c r="U7" s="9">
        <v>42000</v>
      </c>
      <c r="V7" s="13" t="s">
        <v>220</v>
      </c>
      <c r="W7" s="9">
        <v>5000</v>
      </c>
      <c r="X7" s="13" t="s">
        <v>191</v>
      </c>
      <c r="Y7" s="13" t="s">
        <v>191</v>
      </c>
    </row>
    <row r="8" spans="1:26" ht="12.45" customHeight="1">
      <c r="A8" s="12" t="s">
        <v>565</v>
      </c>
      <c r="B8" s="119">
        <v>165000</v>
      </c>
      <c r="C8" s="9">
        <v>88000</v>
      </c>
      <c r="D8" s="13" t="s">
        <v>220</v>
      </c>
      <c r="E8" s="9">
        <v>9000</v>
      </c>
      <c r="F8" s="9">
        <v>27000</v>
      </c>
      <c r="G8" s="9">
        <v>34000</v>
      </c>
      <c r="H8" s="143">
        <v>192000</v>
      </c>
      <c r="I8" s="9">
        <v>73000</v>
      </c>
      <c r="J8" s="9">
        <v>18000</v>
      </c>
      <c r="K8" s="9">
        <v>11000</v>
      </c>
      <c r="L8" s="9">
        <v>13000</v>
      </c>
      <c r="M8" s="9">
        <v>23000</v>
      </c>
      <c r="N8" s="137">
        <v>15000</v>
      </c>
      <c r="O8" s="9">
        <v>8000</v>
      </c>
      <c r="P8" s="13" t="s">
        <v>220</v>
      </c>
      <c r="Q8" s="13" t="s">
        <v>220</v>
      </c>
      <c r="R8" s="13" t="s">
        <v>191</v>
      </c>
      <c r="S8" s="13" t="s">
        <v>220</v>
      </c>
      <c r="T8" s="104">
        <v>52000</v>
      </c>
      <c r="U8" s="9">
        <v>38000</v>
      </c>
      <c r="V8" s="13" t="s">
        <v>220</v>
      </c>
      <c r="W8" s="13" t="s">
        <v>220</v>
      </c>
      <c r="X8" s="13" t="s">
        <v>191</v>
      </c>
      <c r="Y8" s="13" t="s">
        <v>191</v>
      </c>
    </row>
    <row r="9" spans="1:26" ht="12.45" customHeight="1">
      <c r="A9" s="49" t="s">
        <v>566</v>
      </c>
      <c r="B9" s="181">
        <v>337000</v>
      </c>
      <c r="C9" s="21">
        <v>138000</v>
      </c>
      <c r="D9" s="21">
        <v>24000</v>
      </c>
      <c r="E9" s="21">
        <v>40000</v>
      </c>
      <c r="F9" s="21">
        <v>36000</v>
      </c>
      <c r="G9" s="21">
        <v>100000</v>
      </c>
      <c r="H9" s="179">
        <v>144000</v>
      </c>
      <c r="I9" s="21">
        <v>42000</v>
      </c>
      <c r="J9" s="21">
        <v>3000</v>
      </c>
      <c r="K9" s="21">
        <v>18000</v>
      </c>
      <c r="L9" s="40" t="s">
        <v>191</v>
      </c>
      <c r="M9" s="21">
        <v>43000</v>
      </c>
      <c r="N9" s="180">
        <v>11000</v>
      </c>
      <c r="O9" s="21">
        <v>5000</v>
      </c>
      <c r="P9" s="40" t="s">
        <v>220</v>
      </c>
      <c r="Q9" s="40" t="s">
        <v>220</v>
      </c>
      <c r="R9" s="40" t="s">
        <v>220</v>
      </c>
      <c r="S9" s="40" t="s">
        <v>220</v>
      </c>
      <c r="T9" s="178">
        <v>13000</v>
      </c>
      <c r="U9" s="40" t="s">
        <v>220</v>
      </c>
      <c r="V9" s="40" t="s">
        <v>220</v>
      </c>
      <c r="W9" s="40" t="s">
        <v>220</v>
      </c>
      <c r="X9" s="40" t="s">
        <v>220</v>
      </c>
      <c r="Y9" s="40" t="s">
        <v>220</v>
      </c>
    </row>
    <row r="10" spans="1:26" ht="11.25" customHeight="1">
      <c r="A10" s="344" t="s">
        <v>224</v>
      </c>
      <c r="B10" s="344"/>
      <c r="C10" s="344"/>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ht="70.2" customHeight="1">
      <c r="A11" s="321" t="s">
        <v>574</v>
      </c>
      <c r="B11" s="321"/>
      <c r="C11" s="321"/>
      <c r="D11" s="321"/>
      <c r="E11" s="321"/>
      <c r="F11" s="321"/>
      <c r="G11" s="321"/>
      <c r="H11" s="321"/>
      <c r="I11" s="321"/>
      <c r="J11" s="321"/>
      <c r="K11" s="321"/>
      <c r="L11" s="321"/>
      <c r="M11" s="321"/>
      <c r="N11" s="321"/>
      <c r="O11" s="321"/>
      <c r="P11" s="321"/>
      <c r="Q11" s="321"/>
      <c r="R11" s="321"/>
      <c r="S11" s="321"/>
      <c r="T11" s="321"/>
      <c r="U11" s="321"/>
      <c r="V11" s="321"/>
      <c r="W11" s="321"/>
      <c r="X11" s="321"/>
      <c r="Y11" s="321"/>
      <c r="Z11" s="321"/>
    </row>
    <row r="12" spans="1:26" ht="1.95" customHeight="1"/>
  </sheetData>
  <mergeCells count="8">
    <mergeCell ref="A10:Z10"/>
    <mergeCell ref="A11:Z11"/>
    <mergeCell ref="A1:Z1"/>
    <mergeCell ref="A2:A3"/>
    <mergeCell ref="B2:G2"/>
    <mergeCell ref="H2:M2"/>
    <mergeCell ref="N2:S2"/>
    <mergeCell ref="T2:Y2"/>
  </mergeCell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V92"/>
  <sheetViews>
    <sheetView topLeftCell="X1" workbookViewId="0">
      <pane ySplit="4" topLeftCell="A71" activePane="bottomLeft" state="frozen"/>
      <selection pane="bottomLeft" activeCell="AB89" sqref="AB89:AC92"/>
    </sheetView>
  </sheetViews>
  <sheetFormatPr defaultRowHeight="13.2"/>
  <cols>
    <col min="1" max="1" width="81.77734375" customWidth="1"/>
    <col min="2" max="2" width="14.44140625" style="167" customWidth="1"/>
    <col min="3" max="3" width="14.44140625" customWidth="1"/>
    <col min="4" max="4" width="14.77734375" customWidth="1"/>
    <col min="5" max="6" width="21.109375" customWidth="1"/>
    <col min="7" max="7" width="20.6640625" customWidth="1"/>
    <col min="8" max="8" width="14.44140625" style="170" customWidth="1"/>
    <col min="9" max="9" width="12.77734375" customWidth="1"/>
    <col min="10" max="10" width="14.77734375" customWidth="1"/>
    <col min="11" max="12" width="21.109375" customWidth="1"/>
    <col min="13" max="13" width="20.6640625" customWidth="1"/>
    <col min="14" max="14" width="12.6640625" style="173" customWidth="1"/>
    <col min="15" max="15" width="12.77734375" customWidth="1"/>
    <col min="16" max="16" width="14.77734375" customWidth="1"/>
    <col min="17" max="18" width="21.109375" customWidth="1"/>
    <col min="19" max="19" width="20.6640625" customWidth="1"/>
    <col min="20" max="20" width="12.77734375" style="176" customWidth="1"/>
    <col min="21" max="21" width="12.77734375" customWidth="1"/>
    <col min="22" max="22" width="14.77734375" customWidth="1"/>
    <col min="23" max="24" width="21.109375" customWidth="1"/>
    <col min="25" max="25" width="20.6640625" customWidth="1"/>
    <col min="26" max="26" width="3.109375" customWidth="1"/>
    <col min="28" max="28" width="41.109375" bestFit="1" customWidth="1"/>
    <col min="29" max="29" width="19.44140625" bestFit="1" customWidth="1"/>
    <col min="31" max="31" width="18" bestFit="1" customWidth="1"/>
    <col min="32" max="33" width="22.33203125" bestFit="1" customWidth="1"/>
    <col min="34" max="34" width="21.44140625" bestFit="1" customWidth="1"/>
    <col min="35" max="35" width="19.44140625" bestFit="1" customWidth="1"/>
    <col min="37" max="37" width="17.77734375" bestFit="1" customWidth="1"/>
    <col min="38" max="39" width="22.33203125" bestFit="1" customWidth="1"/>
    <col min="40" max="40" width="21.44140625" bestFit="1" customWidth="1"/>
    <col min="41" max="41" width="16.77734375" bestFit="1" customWidth="1"/>
    <col min="43" max="43" width="17.77734375" bestFit="1" customWidth="1"/>
    <col min="44" max="45" width="22.33203125" bestFit="1" customWidth="1"/>
    <col min="46" max="46" width="21.44140625" bestFit="1" customWidth="1"/>
  </cols>
  <sheetData>
    <row r="1" spans="1:48" ht="39" customHeight="1">
      <c r="A1" s="321" t="s">
        <v>558</v>
      </c>
      <c r="B1" s="321"/>
      <c r="C1" s="321"/>
      <c r="D1" s="321"/>
      <c r="E1" s="321"/>
      <c r="F1" s="321"/>
      <c r="G1" s="321"/>
      <c r="H1" s="321"/>
      <c r="I1" s="321"/>
      <c r="J1" s="321"/>
      <c r="K1" s="321"/>
      <c r="L1" s="321"/>
      <c r="M1" s="321"/>
      <c r="N1" s="321"/>
      <c r="O1" s="321"/>
      <c r="P1" s="321"/>
      <c r="Q1" s="321"/>
      <c r="R1" s="321"/>
      <c r="S1" s="321"/>
      <c r="T1" s="321"/>
      <c r="U1" s="321"/>
      <c r="V1" s="321"/>
      <c r="W1" s="321"/>
      <c r="X1" s="321"/>
      <c r="Y1" s="321"/>
      <c r="Z1" s="321"/>
    </row>
    <row r="2" spans="1:48" ht="1.95" customHeight="1"/>
    <row r="3" spans="1:48" ht="13.95" customHeight="1">
      <c r="A3" s="339" t="s">
        <v>559</v>
      </c>
      <c r="B3" s="358" t="s">
        <v>218</v>
      </c>
      <c r="C3" s="359"/>
      <c r="D3" s="359"/>
      <c r="E3" s="359"/>
      <c r="F3" s="359"/>
      <c r="G3" s="360"/>
      <c r="H3" s="361" t="s">
        <v>219</v>
      </c>
      <c r="I3" s="362"/>
      <c r="J3" s="362"/>
      <c r="K3" s="362"/>
      <c r="L3" s="362"/>
      <c r="M3" s="363"/>
      <c r="N3" s="364" t="s">
        <v>221</v>
      </c>
      <c r="O3" s="365"/>
      <c r="P3" s="365"/>
      <c r="Q3" s="365"/>
      <c r="R3" s="365"/>
      <c r="S3" s="366"/>
      <c r="T3" s="367" t="s">
        <v>223</v>
      </c>
      <c r="U3" s="368"/>
      <c r="V3" s="368"/>
      <c r="W3" s="368"/>
      <c r="X3" s="368"/>
      <c r="Y3" s="369"/>
      <c r="AB3" s="339" t="s">
        <v>559</v>
      </c>
      <c r="AC3" s="358" t="s">
        <v>218</v>
      </c>
      <c r="AD3" s="359"/>
      <c r="AE3" s="359"/>
      <c r="AF3" s="359"/>
      <c r="AG3" s="359"/>
      <c r="AH3" s="360"/>
      <c r="AI3" s="361" t="s">
        <v>219</v>
      </c>
      <c r="AJ3" s="362"/>
      <c r="AK3" s="362"/>
      <c r="AL3" s="362"/>
      <c r="AM3" s="362"/>
      <c r="AN3" s="363"/>
      <c r="AO3" s="364" t="s">
        <v>221</v>
      </c>
      <c r="AP3" s="365"/>
      <c r="AQ3" s="365"/>
      <c r="AR3" s="365"/>
      <c r="AS3" s="365"/>
      <c r="AT3" s="366"/>
      <c r="AU3" s="288"/>
      <c r="AV3" s="288"/>
    </row>
    <row r="4" spans="1:48" ht="13.95" customHeight="1">
      <c r="A4" s="341"/>
      <c r="B4" s="168" t="s">
        <v>167</v>
      </c>
      <c r="C4" s="80">
        <v>0</v>
      </c>
      <c r="D4" s="61" t="s">
        <v>560</v>
      </c>
      <c r="E4" s="61" t="s">
        <v>561</v>
      </c>
      <c r="F4" s="61" t="s">
        <v>562</v>
      </c>
      <c r="G4" s="5" t="s">
        <v>563</v>
      </c>
      <c r="H4" s="171" t="s">
        <v>167</v>
      </c>
      <c r="I4" s="80">
        <v>0</v>
      </c>
      <c r="J4" s="61" t="s">
        <v>560</v>
      </c>
      <c r="K4" s="61" t="s">
        <v>561</v>
      </c>
      <c r="L4" s="61" t="s">
        <v>562</v>
      </c>
      <c r="M4" s="5" t="s">
        <v>563</v>
      </c>
      <c r="N4" s="174" t="s">
        <v>167</v>
      </c>
      <c r="O4" s="80">
        <v>0</v>
      </c>
      <c r="P4" s="61" t="s">
        <v>560</v>
      </c>
      <c r="Q4" s="61" t="s">
        <v>561</v>
      </c>
      <c r="R4" s="61" t="s">
        <v>562</v>
      </c>
      <c r="S4" s="5" t="s">
        <v>563</v>
      </c>
      <c r="T4" s="108" t="s">
        <v>167</v>
      </c>
      <c r="U4" s="80">
        <v>0</v>
      </c>
      <c r="V4" s="61" t="s">
        <v>560</v>
      </c>
      <c r="W4" s="61" t="s">
        <v>561</v>
      </c>
      <c r="X4" s="61" t="s">
        <v>562</v>
      </c>
      <c r="Y4" s="5" t="s">
        <v>563</v>
      </c>
      <c r="AB4" s="341"/>
      <c r="AC4" s="168" t="s">
        <v>167</v>
      </c>
      <c r="AD4" s="80">
        <v>0</v>
      </c>
      <c r="AE4" s="61" t="s">
        <v>575</v>
      </c>
      <c r="AF4" s="61" t="s">
        <v>576</v>
      </c>
      <c r="AG4" s="61" t="s">
        <v>577</v>
      </c>
      <c r="AH4" s="5" t="s">
        <v>578</v>
      </c>
      <c r="AI4" s="171" t="s">
        <v>167</v>
      </c>
      <c r="AJ4" s="80">
        <v>0</v>
      </c>
      <c r="AK4" s="61" t="s">
        <v>575</v>
      </c>
      <c r="AL4" s="61" t="s">
        <v>576</v>
      </c>
      <c r="AM4" s="61" t="s">
        <v>577</v>
      </c>
      <c r="AN4" s="5" t="s">
        <v>578</v>
      </c>
      <c r="AO4" s="174" t="s">
        <v>167</v>
      </c>
      <c r="AP4" s="80">
        <v>0</v>
      </c>
      <c r="AQ4" s="61" t="s">
        <v>575</v>
      </c>
      <c r="AR4" s="61" t="s">
        <v>576</v>
      </c>
      <c r="AS4" s="61" t="s">
        <v>577</v>
      </c>
      <c r="AT4" s="5" t="s">
        <v>578</v>
      </c>
      <c r="AU4" s="289"/>
      <c r="AV4" s="289"/>
    </row>
    <row r="5" spans="1:48" ht="12.45" customHeight="1">
      <c r="A5" s="6" t="s">
        <v>441</v>
      </c>
      <c r="B5" s="169">
        <f>42870000</f>
        <v>42870000</v>
      </c>
      <c r="C5" s="7">
        <v>18658000</v>
      </c>
      <c r="D5" s="7">
        <v>5660000</v>
      </c>
      <c r="E5" s="7">
        <v>5002000</v>
      </c>
      <c r="F5" s="7">
        <v>4392000</v>
      </c>
      <c r="G5" s="7">
        <v>9157000</v>
      </c>
      <c r="H5" s="172">
        <v>19296000</v>
      </c>
      <c r="I5" s="7">
        <v>7330000</v>
      </c>
      <c r="J5" s="7">
        <v>2360000</v>
      </c>
      <c r="K5" s="7">
        <v>1783000</v>
      </c>
      <c r="L5" s="7">
        <v>1350000</v>
      </c>
      <c r="M5" s="7">
        <v>3222000</v>
      </c>
      <c r="N5" s="175">
        <v>2643000</v>
      </c>
      <c r="O5" s="7">
        <v>1235000</v>
      </c>
      <c r="P5" s="7">
        <v>333000</v>
      </c>
      <c r="Q5" s="7">
        <v>169000</v>
      </c>
      <c r="R5" s="7">
        <v>121000</v>
      </c>
      <c r="S5" s="7">
        <v>236000</v>
      </c>
      <c r="T5" s="177">
        <v>3784000</v>
      </c>
      <c r="U5" s="7">
        <v>1554000</v>
      </c>
      <c r="V5" s="7">
        <v>393000</v>
      </c>
      <c r="W5" s="7">
        <v>336000</v>
      </c>
      <c r="X5" s="7">
        <v>223000</v>
      </c>
      <c r="Y5" s="7">
        <v>539000</v>
      </c>
      <c r="AC5" s="263"/>
      <c r="AD5" s="263">
        <f>0*C5</f>
        <v>0</v>
      </c>
      <c r="AE5" s="263">
        <f>5000.5*D5</f>
        <v>28302830000</v>
      </c>
      <c r="AF5" s="263">
        <f>15000.5*E5</f>
        <v>75032501000</v>
      </c>
      <c r="AG5" s="263">
        <f>25000.5*F5</f>
        <v>109802196000</v>
      </c>
      <c r="AH5" s="263">
        <f>35000.5*G5</f>
        <v>320499578500</v>
      </c>
      <c r="AI5" s="263"/>
      <c r="AJ5" s="263">
        <f>0*I5</f>
        <v>0</v>
      </c>
      <c r="AK5" s="263">
        <f>5000.5*J5</f>
        <v>11801180000</v>
      </c>
      <c r="AL5" s="263">
        <f>15000.5*K5</f>
        <v>26745891500</v>
      </c>
      <c r="AM5" s="263">
        <f>L5*25000.5</f>
        <v>33750675000</v>
      </c>
      <c r="AN5" s="263">
        <f>M5*35000.5</f>
        <v>112771611000</v>
      </c>
      <c r="AO5" s="263"/>
      <c r="AP5" s="263">
        <f>O5*0</f>
        <v>0</v>
      </c>
      <c r="AQ5" s="263">
        <f>P5*5000.5</f>
        <v>1665166500</v>
      </c>
      <c r="AR5" s="263">
        <f>Q5*15000.5</f>
        <v>2535084500</v>
      </c>
      <c r="AS5" s="263">
        <f>25000.5*R5</f>
        <v>3025060500</v>
      </c>
      <c r="AT5" s="263">
        <f>S5*35000.5</f>
        <v>8260118000</v>
      </c>
      <c r="AU5" s="263"/>
      <c r="AV5" s="263"/>
    </row>
    <row r="6" spans="1:48" ht="12.45" customHeight="1">
      <c r="A6" s="8" t="s">
        <v>567</v>
      </c>
      <c r="B6" s="169"/>
      <c r="C6" s="53"/>
      <c r="D6" s="53"/>
      <c r="E6" s="53"/>
      <c r="F6" s="53"/>
      <c r="G6" s="53"/>
      <c r="H6" s="188"/>
      <c r="I6" s="53"/>
      <c r="J6" s="53"/>
      <c r="K6" s="53"/>
      <c r="L6" s="53"/>
      <c r="M6" s="53"/>
      <c r="N6" s="189"/>
      <c r="O6" s="53"/>
      <c r="P6" s="53"/>
      <c r="Q6" s="53"/>
      <c r="R6" s="53"/>
      <c r="S6" s="53"/>
      <c r="T6" s="190"/>
      <c r="U6" s="53"/>
      <c r="V6" s="53"/>
      <c r="W6" s="53"/>
      <c r="X6" s="53"/>
      <c r="Y6" s="53"/>
      <c r="AC6" s="263"/>
      <c r="AD6" s="263">
        <f t="shared" ref="AD6:AD69" si="0">0*C6</f>
        <v>0</v>
      </c>
      <c r="AE6" s="263">
        <f t="shared" ref="AE6:AE69" si="1">5000.5*D6</f>
        <v>0</v>
      </c>
      <c r="AF6" s="263">
        <f t="shared" ref="AF6:AF69" si="2">15000.5*E6</f>
        <v>0</v>
      </c>
      <c r="AG6" s="263">
        <f t="shared" ref="AG6:AG69" si="3">25000.5*F6</f>
        <v>0</v>
      </c>
      <c r="AH6" s="263">
        <f t="shared" ref="AH6:AH69" si="4">35000.5*G6</f>
        <v>0</v>
      </c>
      <c r="AI6" s="263"/>
      <c r="AJ6" s="263">
        <f t="shared" ref="AJ6:AJ69" si="5">0*I6</f>
        <v>0</v>
      </c>
      <c r="AK6" s="263">
        <f t="shared" ref="AK6:AK69" si="6">5000.5*J6</f>
        <v>0</v>
      </c>
      <c r="AL6" s="263">
        <f t="shared" ref="AL6:AL69" si="7">15000.5*K6</f>
        <v>0</v>
      </c>
      <c r="AM6" s="263">
        <f t="shared" ref="AM6:AM69" si="8">L6*25000.5</f>
        <v>0</v>
      </c>
      <c r="AN6" s="263">
        <f t="shared" ref="AN6:AN69" si="9">M6*35000.5</f>
        <v>0</v>
      </c>
      <c r="AO6" s="263"/>
      <c r="AP6" s="263">
        <f t="shared" ref="AP6:AP69" si="10">O6*0</f>
        <v>0</v>
      </c>
      <c r="AQ6" s="263">
        <f t="shared" ref="AQ6:AQ69" si="11">P6*5000.5</f>
        <v>0</v>
      </c>
      <c r="AR6" s="263">
        <f t="shared" ref="AR6:AR69" si="12">Q6*15000.5</f>
        <v>0</v>
      </c>
      <c r="AS6" s="263">
        <f t="shared" ref="AS6:AS69" si="13">25000.5*R6</f>
        <v>0</v>
      </c>
      <c r="AT6" s="263">
        <f t="shared" ref="AT6:AT69" si="14">S6*35000.5</f>
        <v>0</v>
      </c>
      <c r="AU6" s="263"/>
      <c r="AV6" s="263"/>
    </row>
    <row r="7" spans="1:48" ht="12.45" customHeight="1">
      <c r="A7" s="10" t="s">
        <v>568</v>
      </c>
      <c r="B7" s="169">
        <v>5676000</v>
      </c>
      <c r="C7" s="9">
        <v>2505000</v>
      </c>
      <c r="D7" s="9">
        <v>977000</v>
      </c>
      <c r="E7" s="9">
        <v>730000</v>
      </c>
      <c r="F7" s="9">
        <v>538000</v>
      </c>
      <c r="G7" s="9">
        <v>927000</v>
      </c>
      <c r="H7" s="143">
        <v>2593000</v>
      </c>
      <c r="I7" s="9">
        <v>933000</v>
      </c>
      <c r="J7" s="9">
        <v>402000</v>
      </c>
      <c r="K7" s="9">
        <v>258000</v>
      </c>
      <c r="L7" s="9">
        <v>156000</v>
      </c>
      <c r="M7" s="9">
        <v>332000</v>
      </c>
      <c r="N7" s="137">
        <v>341000</v>
      </c>
      <c r="O7" s="9">
        <v>138000</v>
      </c>
      <c r="P7" s="9">
        <v>54000</v>
      </c>
      <c r="Q7" s="9">
        <v>21000</v>
      </c>
      <c r="R7" s="9">
        <v>15000</v>
      </c>
      <c r="S7" s="9">
        <v>27000</v>
      </c>
      <c r="T7" s="104">
        <v>307000</v>
      </c>
      <c r="U7" s="9">
        <v>100000</v>
      </c>
      <c r="V7" s="9">
        <v>42000</v>
      </c>
      <c r="W7" s="9">
        <v>21000</v>
      </c>
      <c r="X7" s="9">
        <v>17000</v>
      </c>
      <c r="Y7" s="9">
        <v>52000</v>
      </c>
      <c r="AC7" s="263"/>
      <c r="AD7" s="263">
        <f t="shared" si="0"/>
        <v>0</v>
      </c>
      <c r="AE7" s="263">
        <f t="shared" si="1"/>
        <v>4885488500</v>
      </c>
      <c r="AF7" s="263">
        <f t="shared" si="2"/>
        <v>10950365000</v>
      </c>
      <c r="AG7" s="263">
        <f t="shared" si="3"/>
        <v>13450269000</v>
      </c>
      <c r="AH7" s="263">
        <f t="shared" si="4"/>
        <v>32445463500</v>
      </c>
      <c r="AI7" s="263"/>
      <c r="AJ7" s="263">
        <f t="shared" si="5"/>
        <v>0</v>
      </c>
      <c r="AK7" s="263">
        <f t="shared" si="6"/>
        <v>2010201000</v>
      </c>
      <c r="AL7" s="263">
        <f t="shared" si="7"/>
        <v>3870129000</v>
      </c>
      <c r="AM7" s="263">
        <f t="shared" si="8"/>
        <v>3900078000</v>
      </c>
      <c r="AN7" s="263">
        <f t="shared" si="9"/>
        <v>11620166000</v>
      </c>
      <c r="AO7" s="263"/>
      <c r="AP7" s="263">
        <f t="shared" si="10"/>
        <v>0</v>
      </c>
      <c r="AQ7" s="263">
        <f t="shared" si="11"/>
        <v>270027000</v>
      </c>
      <c r="AR7" s="263">
        <f t="shared" si="12"/>
        <v>315010500</v>
      </c>
      <c r="AS7" s="263">
        <f t="shared" si="13"/>
        <v>375007500</v>
      </c>
      <c r="AT7" s="263">
        <f t="shared" si="14"/>
        <v>945013500</v>
      </c>
      <c r="AU7" s="263"/>
      <c r="AV7" s="263"/>
    </row>
    <row r="8" spans="1:48" ht="12.45" customHeight="1">
      <c r="A8" s="10" t="s">
        <v>569</v>
      </c>
      <c r="B8" s="119">
        <v>11006000</v>
      </c>
      <c r="C8" s="9">
        <v>4247000</v>
      </c>
      <c r="D8" s="9">
        <v>1638000</v>
      </c>
      <c r="E8" s="9">
        <v>1268000</v>
      </c>
      <c r="F8" s="9">
        <v>1221000</v>
      </c>
      <c r="G8" s="9">
        <v>2632000</v>
      </c>
      <c r="H8" s="143">
        <v>4406000</v>
      </c>
      <c r="I8" s="9">
        <v>1359000</v>
      </c>
      <c r="J8" s="9">
        <v>570000</v>
      </c>
      <c r="K8" s="9">
        <v>418000</v>
      </c>
      <c r="L8" s="9">
        <v>343000</v>
      </c>
      <c r="M8" s="9">
        <v>899000</v>
      </c>
      <c r="N8" s="137">
        <v>504000</v>
      </c>
      <c r="O8" s="9">
        <v>200000</v>
      </c>
      <c r="P8" s="9">
        <v>68000</v>
      </c>
      <c r="Q8" s="9">
        <v>42000</v>
      </c>
      <c r="R8" s="9">
        <v>34000</v>
      </c>
      <c r="S8" s="9">
        <v>48000</v>
      </c>
      <c r="T8" s="104">
        <v>634000</v>
      </c>
      <c r="U8" s="9">
        <v>170000</v>
      </c>
      <c r="V8" s="9">
        <v>83000</v>
      </c>
      <c r="W8" s="9">
        <v>66000</v>
      </c>
      <c r="X8" s="9">
        <v>58000</v>
      </c>
      <c r="Y8" s="9">
        <v>113000</v>
      </c>
      <c r="AC8" s="263"/>
      <c r="AD8" s="263">
        <f t="shared" si="0"/>
        <v>0</v>
      </c>
      <c r="AE8" s="263">
        <f t="shared" si="1"/>
        <v>8190819000</v>
      </c>
      <c r="AF8" s="263">
        <f t="shared" si="2"/>
        <v>19020634000</v>
      </c>
      <c r="AG8" s="263">
        <f t="shared" si="3"/>
        <v>30525610500</v>
      </c>
      <c r="AH8" s="263">
        <f t="shared" si="4"/>
        <v>92121316000</v>
      </c>
      <c r="AI8" s="263"/>
      <c r="AJ8" s="263">
        <f t="shared" si="5"/>
        <v>0</v>
      </c>
      <c r="AK8" s="263">
        <f t="shared" si="6"/>
        <v>2850285000</v>
      </c>
      <c r="AL8" s="263">
        <f t="shared" si="7"/>
        <v>6270209000</v>
      </c>
      <c r="AM8" s="263">
        <f t="shared" si="8"/>
        <v>8575171500</v>
      </c>
      <c r="AN8" s="263">
        <f t="shared" si="9"/>
        <v>31465449500</v>
      </c>
      <c r="AO8" s="263"/>
      <c r="AP8" s="263">
        <f t="shared" si="10"/>
        <v>0</v>
      </c>
      <c r="AQ8" s="263">
        <f t="shared" si="11"/>
        <v>340034000</v>
      </c>
      <c r="AR8" s="263">
        <f t="shared" si="12"/>
        <v>630021000</v>
      </c>
      <c r="AS8" s="263">
        <f t="shared" si="13"/>
        <v>850017000</v>
      </c>
      <c r="AT8" s="263">
        <f t="shared" si="14"/>
        <v>1680024000</v>
      </c>
      <c r="AU8" s="263"/>
      <c r="AV8" s="263"/>
    </row>
    <row r="9" spans="1:48" ht="12.45" customHeight="1">
      <c r="A9" s="10" t="s">
        <v>570</v>
      </c>
      <c r="B9" s="119">
        <v>8194000</v>
      </c>
      <c r="C9" s="9">
        <v>3016000</v>
      </c>
      <c r="D9" s="9">
        <v>1145000</v>
      </c>
      <c r="E9" s="9">
        <v>1065000</v>
      </c>
      <c r="F9" s="9">
        <v>965000</v>
      </c>
      <c r="G9" s="9">
        <v>2002000</v>
      </c>
      <c r="H9" s="143">
        <v>3459000</v>
      </c>
      <c r="I9" s="9">
        <v>1131000</v>
      </c>
      <c r="J9" s="9">
        <v>404000</v>
      </c>
      <c r="K9" s="9">
        <v>387000</v>
      </c>
      <c r="L9" s="9">
        <v>361000</v>
      </c>
      <c r="M9" s="9">
        <v>694000</v>
      </c>
      <c r="N9" s="137">
        <v>396000</v>
      </c>
      <c r="O9" s="9">
        <v>162000</v>
      </c>
      <c r="P9" s="9">
        <v>54000</v>
      </c>
      <c r="Q9" s="9">
        <v>41000</v>
      </c>
      <c r="R9" s="9">
        <v>10000</v>
      </c>
      <c r="S9" s="9">
        <v>44000</v>
      </c>
      <c r="T9" s="104">
        <v>573000</v>
      </c>
      <c r="U9" s="9">
        <v>196000</v>
      </c>
      <c r="V9" s="9">
        <v>97000</v>
      </c>
      <c r="W9" s="9">
        <v>88000</v>
      </c>
      <c r="X9" s="9">
        <v>26000</v>
      </c>
      <c r="Y9" s="9">
        <v>84000</v>
      </c>
      <c r="AC9" s="263"/>
      <c r="AD9" s="263">
        <f t="shared" si="0"/>
        <v>0</v>
      </c>
      <c r="AE9" s="263">
        <f t="shared" si="1"/>
        <v>5725572500</v>
      </c>
      <c r="AF9" s="263">
        <f t="shared" si="2"/>
        <v>15975532500</v>
      </c>
      <c r="AG9" s="263">
        <f t="shared" si="3"/>
        <v>24125482500</v>
      </c>
      <c r="AH9" s="263">
        <f t="shared" si="4"/>
        <v>70071001000</v>
      </c>
      <c r="AI9" s="263"/>
      <c r="AJ9" s="263">
        <f t="shared" si="5"/>
        <v>0</v>
      </c>
      <c r="AK9" s="263">
        <f t="shared" si="6"/>
        <v>2020202000</v>
      </c>
      <c r="AL9" s="263">
        <f t="shared" si="7"/>
        <v>5805193500</v>
      </c>
      <c r="AM9" s="263">
        <f t="shared" si="8"/>
        <v>9025180500</v>
      </c>
      <c r="AN9" s="263">
        <f t="shared" si="9"/>
        <v>24290347000</v>
      </c>
      <c r="AO9" s="263"/>
      <c r="AP9" s="263">
        <f t="shared" si="10"/>
        <v>0</v>
      </c>
      <c r="AQ9" s="263">
        <f t="shared" si="11"/>
        <v>270027000</v>
      </c>
      <c r="AR9" s="263">
        <f t="shared" si="12"/>
        <v>615020500</v>
      </c>
      <c r="AS9" s="263">
        <f t="shared" si="13"/>
        <v>250005000</v>
      </c>
      <c r="AT9" s="263">
        <f t="shared" si="14"/>
        <v>1540022000</v>
      </c>
      <c r="AU9" s="263"/>
      <c r="AV9" s="263"/>
    </row>
    <row r="10" spans="1:48" ht="12.45" customHeight="1">
      <c r="A10" s="10" t="s">
        <v>571</v>
      </c>
      <c r="B10" s="119">
        <v>9354000</v>
      </c>
      <c r="C10" s="9">
        <v>4562000</v>
      </c>
      <c r="D10" s="9">
        <v>1019000</v>
      </c>
      <c r="E10" s="9">
        <v>1071000</v>
      </c>
      <c r="F10" s="9">
        <v>908000</v>
      </c>
      <c r="G10" s="9">
        <v>1794000</v>
      </c>
      <c r="H10" s="143">
        <v>4028000</v>
      </c>
      <c r="I10" s="9">
        <v>1763000</v>
      </c>
      <c r="J10" s="9">
        <v>480000</v>
      </c>
      <c r="K10" s="9">
        <v>322000</v>
      </c>
      <c r="L10" s="9">
        <v>224000</v>
      </c>
      <c r="M10" s="9">
        <v>562000</v>
      </c>
      <c r="N10" s="137">
        <v>596000</v>
      </c>
      <c r="O10" s="9">
        <v>307000</v>
      </c>
      <c r="P10" s="9">
        <v>73000</v>
      </c>
      <c r="Q10" s="9">
        <v>27000</v>
      </c>
      <c r="R10" s="9">
        <v>28000</v>
      </c>
      <c r="S10" s="9">
        <v>49000</v>
      </c>
      <c r="T10" s="104">
        <v>822000</v>
      </c>
      <c r="U10" s="9">
        <v>335000</v>
      </c>
      <c r="V10" s="9">
        <v>78000</v>
      </c>
      <c r="W10" s="9">
        <v>70000</v>
      </c>
      <c r="X10" s="9">
        <v>66000</v>
      </c>
      <c r="Y10" s="9">
        <v>143000</v>
      </c>
      <c r="AC10" s="263"/>
      <c r="AD10" s="263">
        <f t="shared" si="0"/>
        <v>0</v>
      </c>
      <c r="AE10" s="263">
        <f t="shared" si="1"/>
        <v>5095509500</v>
      </c>
      <c r="AF10" s="263">
        <f t="shared" si="2"/>
        <v>16065535500</v>
      </c>
      <c r="AG10" s="263">
        <f t="shared" si="3"/>
        <v>22700454000</v>
      </c>
      <c r="AH10" s="263">
        <f t="shared" si="4"/>
        <v>62790897000</v>
      </c>
      <c r="AI10" s="263"/>
      <c r="AJ10" s="263">
        <f t="shared" si="5"/>
        <v>0</v>
      </c>
      <c r="AK10" s="263">
        <f t="shared" si="6"/>
        <v>2400240000</v>
      </c>
      <c r="AL10" s="263">
        <f t="shared" si="7"/>
        <v>4830161000</v>
      </c>
      <c r="AM10" s="263">
        <f t="shared" si="8"/>
        <v>5600112000</v>
      </c>
      <c r="AN10" s="263">
        <f t="shared" si="9"/>
        <v>19670281000</v>
      </c>
      <c r="AO10" s="263"/>
      <c r="AP10" s="263">
        <f t="shared" si="10"/>
        <v>0</v>
      </c>
      <c r="AQ10" s="263">
        <f t="shared" si="11"/>
        <v>365036500</v>
      </c>
      <c r="AR10" s="263">
        <f t="shared" si="12"/>
        <v>405013500</v>
      </c>
      <c r="AS10" s="263">
        <f t="shared" si="13"/>
        <v>700014000</v>
      </c>
      <c r="AT10" s="263">
        <f t="shared" si="14"/>
        <v>1715024500</v>
      </c>
      <c r="AU10" s="263"/>
      <c r="AV10" s="263"/>
    </row>
    <row r="11" spans="1:48" ht="12.45" customHeight="1">
      <c r="A11" s="10" t="s">
        <v>572</v>
      </c>
      <c r="B11" s="119">
        <v>4477000</v>
      </c>
      <c r="C11" s="9">
        <v>2117000</v>
      </c>
      <c r="D11" s="9">
        <v>490000</v>
      </c>
      <c r="E11" s="9">
        <v>492000</v>
      </c>
      <c r="F11" s="9">
        <v>456000</v>
      </c>
      <c r="G11" s="9">
        <v>922000</v>
      </c>
      <c r="H11" s="143">
        <v>2499000</v>
      </c>
      <c r="I11" s="9">
        <v>1053000</v>
      </c>
      <c r="J11" s="9">
        <v>253000</v>
      </c>
      <c r="K11" s="9">
        <v>233000</v>
      </c>
      <c r="L11" s="9">
        <v>140000</v>
      </c>
      <c r="M11" s="9">
        <v>410000</v>
      </c>
      <c r="N11" s="137">
        <v>343000</v>
      </c>
      <c r="O11" s="9">
        <v>171000</v>
      </c>
      <c r="P11" s="9">
        <v>36000</v>
      </c>
      <c r="Q11" s="9">
        <v>16000</v>
      </c>
      <c r="R11" s="9">
        <v>22000</v>
      </c>
      <c r="S11" s="9">
        <v>33000</v>
      </c>
      <c r="T11" s="104">
        <v>488000</v>
      </c>
      <c r="U11" s="9">
        <v>211000</v>
      </c>
      <c r="V11" s="9">
        <v>50000</v>
      </c>
      <c r="W11" s="9">
        <v>27000</v>
      </c>
      <c r="X11" s="9">
        <v>23000</v>
      </c>
      <c r="Y11" s="9">
        <v>74000</v>
      </c>
      <c r="AC11" s="263"/>
      <c r="AD11" s="263">
        <f t="shared" si="0"/>
        <v>0</v>
      </c>
      <c r="AE11" s="263">
        <f t="shared" si="1"/>
        <v>2450245000</v>
      </c>
      <c r="AF11" s="263">
        <f t="shared" si="2"/>
        <v>7380246000</v>
      </c>
      <c r="AG11" s="263">
        <f t="shared" si="3"/>
        <v>11400228000</v>
      </c>
      <c r="AH11" s="263">
        <f t="shared" si="4"/>
        <v>32270461000</v>
      </c>
      <c r="AI11" s="263"/>
      <c r="AJ11" s="263">
        <f t="shared" si="5"/>
        <v>0</v>
      </c>
      <c r="AK11" s="263">
        <f t="shared" si="6"/>
        <v>1265126500</v>
      </c>
      <c r="AL11" s="263">
        <f t="shared" si="7"/>
        <v>3495116500</v>
      </c>
      <c r="AM11" s="263">
        <f t="shared" si="8"/>
        <v>3500070000</v>
      </c>
      <c r="AN11" s="263">
        <f t="shared" si="9"/>
        <v>14350205000</v>
      </c>
      <c r="AO11" s="263"/>
      <c r="AP11" s="263">
        <f t="shared" si="10"/>
        <v>0</v>
      </c>
      <c r="AQ11" s="263">
        <f t="shared" si="11"/>
        <v>180018000</v>
      </c>
      <c r="AR11" s="263">
        <f t="shared" si="12"/>
        <v>240008000</v>
      </c>
      <c r="AS11" s="263">
        <f t="shared" si="13"/>
        <v>550011000</v>
      </c>
      <c r="AT11" s="263">
        <f t="shared" si="14"/>
        <v>1155016500</v>
      </c>
      <c r="AU11" s="263"/>
      <c r="AV11" s="263"/>
    </row>
    <row r="12" spans="1:48" ht="12.45" customHeight="1">
      <c r="A12" s="10" t="s">
        <v>564</v>
      </c>
      <c r="B12" s="119">
        <v>1644000</v>
      </c>
      <c r="C12" s="9">
        <v>1068000</v>
      </c>
      <c r="D12" s="9">
        <v>103000</v>
      </c>
      <c r="E12" s="9">
        <v>109000</v>
      </c>
      <c r="F12" s="9">
        <v>87000</v>
      </c>
      <c r="G12" s="9">
        <v>277000</v>
      </c>
      <c r="H12" s="143">
        <v>954000</v>
      </c>
      <c r="I12" s="9">
        <v>534000</v>
      </c>
      <c r="J12" s="9">
        <v>79000</v>
      </c>
      <c r="K12" s="9">
        <v>50000</v>
      </c>
      <c r="L12" s="9">
        <v>57000</v>
      </c>
      <c r="M12" s="9">
        <v>87000</v>
      </c>
      <c r="N12" s="137">
        <v>200000</v>
      </c>
      <c r="O12" s="9">
        <v>118000</v>
      </c>
      <c r="P12" s="9">
        <v>17000</v>
      </c>
      <c r="Q12" s="9">
        <v>8000</v>
      </c>
      <c r="R12" s="9">
        <v>6000</v>
      </c>
      <c r="S12" s="9">
        <v>15000</v>
      </c>
      <c r="T12" s="104">
        <v>592000</v>
      </c>
      <c r="U12" s="9">
        <v>365000</v>
      </c>
      <c r="V12" s="9">
        <v>22000</v>
      </c>
      <c r="W12" s="9">
        <v>29000</v>
      </c>
      <c r="X12" s="9">
        <v>18000</v>
      </c>
      <c r="Y12" s="9">
        <v>36000</v>
      </c>
      <c r="AC12" s="263"/>
      <c r="AD12" s="263">
        <f t="shared" si="0"/>
        <v>0</v>
      </c>
      <c r="AE12" s="263">
        <f t="shared" si="1"/>
        <v>515051500</v>
      </c>
      <c r="AF12" s="263">
        <f t="shared" si="2"/>
        <v>1635054500</v>
      </c>
      <c r="AG12" s="263">
        <f t="shared" si="3"/>
        <v>2175043500</v>
      </c>
      <c r="AH12" s="263">
        <f t="shared" si="4"/>
        <v>9695138500</v>
      </c>
      <c r="AI12" s="263"/>
      <c r="AJ12" s="263">
        <f t="shared" si="5"/>
        <v>0</v>
      </c>
      <c r="AK12" s="263">
        <f t="shared" si="6"/>
        <v>395039500</v>
      </c>
      <c r="AL12" s="263">
        <f t="shared" si="7"/>
        <v>750025000</v>
      </c>
      <c r="AM12" s="263">
        <f t="shared" si="8"/>
        <v>1425028500</v>
      </c>
      <c r="AN12" s="263">
        <f t="shared" si="9"/>
        <v>3045043500</v>
      </c>
      <c r="AO12" s="263"/>
      <c r="AP12" s="263">
        <f t="shared" si="10"/>
        <v>0</v>
      </c>
      <c r="AQ12" s="263">
        <f t="shared" si="11"/>
        <v>85008500</v>
      </c>
      <c r="AR12" s="263">
        <f t="shared" si="12"/>
        <v>120004000</v>
      </c>
      <c r="AS12" s="263">
        <f t="shared" si="13"/>
        <v>150003000</v>
      </c>
      <c r="AT12" s="263">
        <f t="shared" si="14"/>
        <v>525007500</v>
      </c>
      <c r="AU12" s="263"/>
      <c r="AV12" s="263"/>
    </row>
    <row r="13" spans="1:48" ht="12.45" customHeight="1">
      <c r="A13" s="10" t="s">
        <v>565</v>
      </c>
      <c r="B13" s="119">
        <v>1283000</v>
      </c>
      <c r="C13" s="9">
        <v>703000</v>
      </c>
      <c r="D13" s="9">
        <v>151000</v>
      </c>
      <c r="E13" s="9">
        <v>131000</v>
      </c>
      <c r="F13" s="9">
        <v>98000</v>
      </c>
      <c r="G13" s="9">
        <v>201000</v>
      </c>
      <c r="H13" s="143">
        <v>907000</v>
      </c>
      <c r="I13" s="9">
        <v>454000</v>
      </c>
      <c r="J13" s="9">
        <v>126000</v>
      </c>
      <c r="K13" s="9">
        <v>71000</v>
      </c>
      <c r="L13" s="9">
        <v>34000</v>
      </c>
      <c r="M13" s="9">
        <v>115000</v>
      </c>
      <c r="N13" s="137">
        <v>225000</v>
      </c>
      <c r="O13" s="9">
        <v>128000</v>
      </c>
      <c r="P13" s="9">
        <v>28000</v>
      </c>
      <c r="Q13" s="9">
        <v>10000</v>
      </c>
      <c r="R13" s="9">
        <v>6000</v>
      </c>
      <c r="S13" s="9">
        <v>17000</v>
      </c>
      <c r="T13" s="104">
        <v>293000</v>
      </c>
      <c r="U13" s="9">
        <v>149000</v>
      </c>
      <c r="V13" s="9">
        <v>20000</v>
      </c>
      <c r="W13" s="9">
        <v>34000</v>
      </c>
      <c r="X13" s="9">
        <v>14000</v>
      </c>
      <c r="Y13" s="9">
        <v>28000</v>
      </c>
      <c r="AC13" s="263"/>
      <c r="AD13" s="263">
        <f t="shared" si="0"/>
        <v>0</v>
      </c>
      <c r="AE13" s="263">
        <f t="shared" si="1"/>
        <v>755075500</v>
      </c>
      <c r="AF13" s="263">
        <f t="shared" si="2"/>
        <v>1965065500</v>
      </c>
      <c r="AG13" s="263">
        <f t="shared" si="3"/>
        <v>2450049000</v>
      </c>
      <c r="AH13" s="263">
        <f t="shared" si="4"/>
        <v>7035100500</v>
      </c>
      <c r="AI13" s="263"/>
      <c r="AJ13" s="263">
        <f t="shared" si="5"/>
        <v>0</v>
      </c>
      <c r="AK13" s="263">
        <f t="shared" si="6"/>
        <v>630063000</v>
      </c>
      <c r="AL13" s="263">
        <f t="shared" si="7"/>
        <v>1065035500</v>
      </c>
      <c r="AM13" s="263">
        <f t="shared" si="8"/>
        <v>850017000</v>
      </c>
      <c r="AN13" s="263">
        <f t="shared" si="9"/>
        <v>4025057500</v>
      </c>
      <c r="AO13" s="263"/>
      <c r="AP13" s="263">
        <f t="shared" si="10"/>
        <v>0</v>
      </c>
      <c r="AQ13" s="263">
        <f t="shared" si="11"/>
        <v>140014000</v>
      </c>
      <c r="AR13" s="263">
        <f t="shared" si="12"/>
        <v>150005000</v>
      </c>
      <c r="AS13" s="263">
        <f t="shared" si="13"/>
        <v>150003000</v>
      </c>
      <c r="AT13" s="263">
        <f t="shared" si="14"/>
        <v>595008500</v>
      </c>
      <c r="AU13" s="263"/>
      <c r="AV13" s="263"/>
    </row>
    <row r="14" spans="1:48" ht="12.45" customHeight="1">
      <c r="A14" s="10" t="s">
        <v>566</v>
      </c>
      <c r="B14" s="119">
        <v>1235000</v>
      </c>
      <c r="C14" s="9">
        <v>440000</v>
      </c>
      <c r="D14" s="9">
        <v>136000</v>
      </c>
      <c r="E14" s="9">
        <v>136000</v>
      </c>
      <c r="F14" s="9">
        <v>120000</v>
      </c>
      <c r="G14" s="9">
        <v>403000</v>
      </c>
      <c r="H14" s="143">
        <v>450000</v>
      </c>
      <c r="I14" s="9">
        <v>103000</v>
      </c>
      <c r="J14" s="9">
        <v>46000</v>
      </c>
      <c r="K14" s="9">
        <v>45000</v>
      </c>
      <c r="L14" s="9">
        <v>34000</v>
      </c>
      <c r="M14" s="9">
        <v>123000</v>
      </c>
      <c r="N14" s="137">
        <v>37000</v>
      </c>
      <c r="O14" s="9">
        <v>12000</v>
      </c>
      <c r="P14" s="9">
        <v>2000</v>
      </c>
      <c r="Q14" s="9">
        <v>4000</v>
      </c>
      <c r="R14" s="13" t="s">
        <v>220</v>
      </c>
      <c r="S14" s="13" t="s">
        <v>191</v>
      </c>
      <c r="T14" s="104">
        <v>75000</v>
      </c>
      <c r="U14" s="9">
        <v>28000</v>
      </c>
      <c r="V14" s="13" t="s">
        <v>191</v>
      </c>
      <c r="W14" s="13" t="s">
        <v>220</v>
      </c>
      <c r="X14" s="13" t="s">
        <v>220</v>
      </c>
      <c r="Y14" s="9">
        <v>10000</v>
      </c>
      <c r="AC14" s="263"/>
      <c r="AD14" s="263">
        <f t="shared" si="0"/>
        <v>0</v>
      </c>
      <c r="AE14" s="263">
        <f t="shared" si="1"/>
        <v>680068000</v>
      </c>
      <c r="AF14" s="263">
        <f t="shared" si="2"/>
        <v>2040068000</v>
      </c>
      <c r="AG14" s="263">
        <f t="shared" si="3"/>
        <v>3000060000</v>
      </c>
      <c r="AH14" s="263">
        <f t="shared" si="4"/>
        <v>14105201500</v>
      </c>
      <c r="AI14" s="263"/>
      <c r="AJ14" s="263">
        <f t="shared" si="5"/>
        <v>0</v>
      </c>
      <c r="AK14" s="263">
        <f t="shared" si="6"/>
        <v>230023000</v>
      </c>
      <c r="AL14" s="263">
        <f t="shared" si="7"/>
        <v>675022500</v>
      </c>
      <c r="AM14" s="263">
        <f t="shared" si="8"/>
        <v>850017000</v>
      </c>
      <c r="AN14" s="263">
        <f t="shared" si="9"/>
        <v>4305061500</v>
      </c>
      <c r="AO14" s="263"/>
      <c r="AP14" s="263">
        <f t="shared" si="10"/>
        <v>0</v>
      </c>
      <c r="AQ14" s="263">
        <f t="shared" si="11"/>
        <v>10001000</v>
      </c>
      <c r="AR14" s="263">
        <f t="shared" si="12"/>
        <v>60002000</v>
      </c>
      <c r="AS14" s="263" t="e">
        <f t="shared" si="13"/>
        <v>#VALUE!</v>
      </c>
      <c r="AT14" s="263" t="e">
        <f t="shared" si="14"/>
        <v>#VALUE!</v>
      </c>
      <c r="AU14" s="263"/>
      <c r="AV14" s="263"/>
    </row>
    <row r="15" spans="1:48" ht="12.45" customHeight="1">
      <c r="A15" s="8" t="s">
        <v>573</v>
      </c>
      <c r="B15" s="187"/>
      <c r="C15" s="53"/>
      <c r="D15" s="53"/>
      <c r="E15" s="53"/>
      <c r="F15" s="53"/>
      <c r="G15" s="53"/>
      <c r="H15" s="188"/>
      <c r="I15" s="53"/>
      <c r="J15" s="53"/>
      <c r="K15" s="53"/>
      <c r="L15" s="53"/>
      <c r="M15" s="53"/>
      <c r="N15" s="189"/>
      <c r="O15" s="53"/>
      <c r="P15" s="53"/>
      <c r="Q15" s="53"/>
      <c r="R15" s="53"/>
      <c r="S15" s="53"/>
      <c r="T15" s="190"/>
      <c r="U15" s="53"/>
      <c r="V15" s="53"/>
      <c r="W15" s="53"/>
      <c r="X15" s="53"/>
      <c r="Y15" s="53"/>
      <c r="AC15" s="263"/>
      <c r="AD15" s="263">
        <f t="shared" si="0"/>
        <v>0</v>
      </c>
      <c r="AE15" s="263">
        <f t="shared" si="1"/>
        <v>0</v>
      </c>
      <c r="AF15" s="263">
        <f t="shared" si="2"/>
        <v>0</v>
      </c>
      <c r="AG15" s="263">
        <f t="shared" si="3"/>
        <v>0</v>
      </c>
      <c r="AH15" s="263">
        <f t="shared" si="4"/>
        <v>0</v>
      </c>
      <c r="AI15" s="263"/>
      <c r="AJ15" s="263">
        <f t="shared" si="5"/>
        <v>0</v>
      </c>
      <c r="AK15" s="263">
        <f t="shared" si="6"/>
        <v>0</v>
      </c>
      <c r="AL15" s="263">
        <f t="shared" si="7"/>
        <v>0</v>
      </c>
      <c r="AM15" s="263">
        <f t="shared" si="8"/>
        <v>0</v>
      </c>
      <c r="AN15" s="263">
        <f t="shared" si="9"/>
        <v>0</v>
      </c>
      <c r="AO15" s="263"/>
      <c r="AP15" s="263">
        <f t="shared" si="10"/>
        <v>0</v>
      </c>
      <c r="AQ15" s="263">
        <f t="shared" si="11"/>
        <v>0</v>
      </c>
      <c r="AR15" s="263">
        <f t="shared" si="12"/>
        <v>0</v>
      </c>
      <c r="AS15" s="263">
        <f t="shared" si="13"/>
        <v>0</v>
      </c>
      <c r="AT15" s="263">
        <f t="shared" si="14"/>
        <v>0</v>
      </c>
      <c r="AU15" s="263"/>
      <c r="AV15" s="263"/>
    </row>
    <row r="16" spans="1:48" ht="12.45" customHeight="1">
      <c r="A16" s="10" t="s">
        <v>568</v>
      </c>
      <c r="B16" s="119">
        <v>5447000</v>
      </c>
      <c r="C16" s="9">
        <v>2473000</v>
      </c>
      <c r="D16" s="9">
        <v>933000</v>
      </c>
      <c r="E16" s="9">
        <v>679000</v>
      </c>
      <c r="F16" s="9">
        <v>434000</v>
      </c>
      <c r="G16" s="9">
        <v>929000</v>
      </c>
      <c r="H16" s="143">
        <v>2422000</v>
      </c>
      <c r="I16" s="9">
        <v>911000</v>
      </c>
      <c r="J16" s="9">
        <v>359000</v>
      </c>
      <c r="K16" s="9">
        <v>203000</v>
      </c>
      <c r="L16" s="9">
        <v>148000</v>
      </c>
      <c r="M16" s="9">
        <v>275000</v>
      </c>
      <c r="N16" s="137">
        <v>380000</v>
      </c>
      <c r="O16" s="9">
        <v>164000</v>
      </c>
      <c r="P16" s="9">
        <v>43000</v>
      </c>
      <c r="Q16" s="9">
        <v>22000</v>
      </c>
      <c r="R16" s="9">
        <v>13000</v>
      </c>
      <c r="S16" s="9">
        <v>24000</v>
      </c>
      <c r="T16" s="104">
        <v>342000</v>
      </c>
      <c r="U16" s="9">
        <v>110000</v>
      </c>
      <c r="V16" s="9">
        <v>28000</v>
      </c>
      <c r="W16" s="9">
        <v>16000</v>
      </c>
      <c r="X16" s="9">
        <v>27000</v>
      </c>
      <c r="Y16" s="9">
        <v>54000</v>
      </c>
      <c r="AC16" s="263"/>
      <c r="AD16" s="263">
        <f t="shared" si="0"/>
        <v>0</v>
      </c>
      <c r="AE16" s="263">
        <f t="shared" si="1"/>
        <v>4665466500</v>
      </c>
      <c r="AF16" s="263">
        <f t="shared" si="2"/>
        <v>10185339500</v>
      </c>
      <c r="AG16" s="263">
        <f t="shared" si="3"/>
        <v>10850217000</v>
      </c>
      <c r="AH16" s="263">
        <f t="shared" si="4"/>
        <v>32515464500</v>
      </c>
      <c r="AI16" s="263"/>
      <c r="AJ16" s="263">
        <f t="shared" si="5"/>
        <v>0</v>
      </c>
      <c r="AK16" s="263">
        <f t="shared" si="6"/>
        <v>1795179500</v>
      </c>
      <c r="AL16" s="263">
        <f t="shared" si="7"/>
        <v>3045101500</v>
      </c>
      <c r="AM16" s="263">
        <f t="shared" si="8"/>
        <v>3700074000</v>
      </c>
      <c r="AN16" s="263">
        <f t="shared" si="9"/>
        <v>9625137500</v>
      </c>
      <c r="AO16" s="263"/>
      <c r="AP16" s="263">
        <f t="shared" si="10"/>
        <v>0</v>
      </c>
      <c r="AQ16" s="263">
        <f t="shared" si="11"/>
        <v>215021500</v>
      </c>
      <c r="AR16" s="263">
        <f t="shared" si="12"/>
        <v>330011000</v>
      </c>
      <c r="AS16" s="263">
        <f t="shared" si="13"/>
        <v>325006500</v>
      </c>
      <c r="AT16" s="263">
        <f t="shared" si="14"/>
        <v>840012000</v>
      </c>
      <c r="AU16" s="263"/>
      <c r="AV16" s="263"/>
    </row>
    <row r="17" spans="1:48" ht="12.45" customHeight="1">
      <c r="A17" s="10" t="s">
        <v>569</v>
      </c>
      <c r="B17" s="119">
        <v>12915000</v>
      </c>
      <c r="C17" s="9">
        <v>5387000</v>
      </c>
      <c r="D17" s="9">
        <v>2037000</v>
      </c>
      <c r="E17" s="9">
        <v>1525000</v>
      </c>
      <c r="F17" s="9">
        <v>1381000</v>
      </c>
      <c r="G17" s="9">
        <v>2585000</v>
      </c>
      <c r="H17" s="143">
        <v>5413000</v>
      </c>
      <c r="I17" s="9">
        <v>1898000</v>
      </c>
      <c r="J17" s="9">
        <v>711000</v>
      </c>
      <c r="K17" s="9">
        <v>544000</v>
      </c>
      <c r="L17" s="9">
        <v>383000</v>
      </c>
      <c r="M17" s="9">
        <v>932000</v>
      </c>
      <c r="N17" s="137">
        <v>622000</v>
      </c>
      <c r="O17" s="9">
        <v>256000</v>
      </c>
      <c r="P17" s="9">
        <v>93000</v>
      </c>
      <c r="Q17" s="9">
        <v>49000</v>
      </c>
      <c r="R17" s="9">
        <v>29000</v>
      </c>
      <c r="S17" s="9">
        <v>46000</v>
      </c>
      <c r="T17" s="104">
        <v>792000</v>
      </c>
      <c r="U17" s="9">
        <v>223000</v>
      </c>
      <c r="V17" s="9">
        <v>138000</v>
      </c>
      <c r="W17" s="9">
        <v>94000</v>
      </c>
      <c r="X17" s="9">
        <v>71000</v>
      </c>
      <c r="Y17" s="9">
        <v>130000</v>
      </c>
      <c r="AC17" s="263"/>
      <c r="AD17" s="263">
        <f t="shared" si="0"/>
        <v>0</v>
      </c>
      <c r="AE17" s="263">
        <f t="shared" si="1"/>
        <v>10186018500</v>
      </c>
      <c r="AF17" s="263">
        <f t="shared" si="2"/>
        <v>22875762500</v>
      </c>
      <c r="AG17" s="263">
        <f t="shared" si="3"/>
        <v>34525690500</v>
      </c>
      <c r="AH17" s="263">
        <f t="shared" si="4"/>
        <v>90476292500</v>
      </c>
      <c r="AI17" s="263"/>
      <c r="AJ17" s="263">
        <f t="shared" si="5"/>
        <v>0</v>
      </c>
      <c r="AK17" s="263">
        <f t="shared" si="6"/>
        <v>3555355500</v>
      </c>
      <c r="AL17" s="263">
        <f t="shared" si="7"/>
        <v>8160272000</v>
      </c>
      <c r="AM17" s="263">
        <f t="shared" si="8"/>
        <v>9575191500</v>
      </c>
      <c r="AN17" s="263">
        <f t="shared" si="9"/>
        <v>32620466000</v>
      </c>
      <c r="AO17" s="263"/>
      <c r="AP17" s="263">
        <f t="shared" si="10"/>
        <v>0</v>
      </c>
      <c r="AQ17" s="263">
        <f t="shared" si="11"/>
        <v>465046500</v>
      </c>
      <c r="AR17" s="263">
        <f t="shared" si="12"/>
        <v>735024500</v>
      </c>
      <c r="AS17" s="263">
        <f t="shared" si="13"/>
        <v>725014500</v>
      </c>
      <c r="AT17" s="263">
        <f t="shared" si="14"/>
        <v>1610023000</v>
      </c>
      <c r="AU17" s="263"/>
      <c r="AV17" s="263"/>
    </row>
    <row r="18" spans="1:48" ht="12.45" customHeight="1">
      <c r="A18" s="10" t="s">
        <v>570</v>
      </c>
      <c r="B18" s="119">
        <v>9601000</v>
      </c>
      <c r="C18" s="9">
        <v>3646000</v>
      </c>
      <c r="D18" s="9">
        <v>1283000</v>
      </c>
      <c r="E18" s="9">
        <v>1205000</v>
      </c>
      <c r="F18" s="9">
        <v>1105000</v>
      </c>
      <c r="G18" s="9">
        <v>2362000</v>
      </c>
      <c r="H18" s="143">
        <v>4159000</v>
      </c>
      <c r="I18" s="9">
        <v>1488000</v>
      </c>
      <c r="J18" s="9">
        <v>546000</v>
      </c>
      <c r="K18" s="9">
        <v>441000</v>
      </c>
      <c r="L18" s="9">
        <v>362000</v>
      </c>
      <c r="M18" s="9">
        <v>790000</v>
      </c>
      <c r="N18" s="137">
        <v>489000</v>
      </c>
      <c r="O18" s="9">
        <v>220000</v>
      </c>
      <c r="P18" s="9">
        <v>69000</v>
      </c>
      <c r="Q18" s="9">
        <v>36000</v>
      </c>
      <c r="R18" s="9">
        <v>30000</v>
      </c>
      <c r="S18" s="9">
        <v>56000</v>
      </c>
      <c r="T18" s="104">
        <v>789000</v>
      </c>
      <c r="U18" s="9">
        <v>309000</v>
      </c>
      <c r="V18" s="9">
        <v>89000</v>
      </c>
      <c r="W18" s="9">
        <v>86000</v>
      </c>
      <c r="X18" s="9">
        <v>49000</v>
      </c>
      <c r="Y18" s="9">
        <v>115000</v>
      </c>
      <c r="AC18" s="263"/>
      <c r="AD18" s="263">
        <f t="shared" si="0"/>
        <v>0</v>
      </c>
      <c r="AE18" s="263">
        <f t="shared" si="1"/>
        <v>6415641500</v>
      </c>
      <c r="AF18" s="263">
        <f t="shared" si="2"/>
        <v>18075602500</v>
      </c>
      <c r="AG18" s="263">
        <f t="shared" si="3"/>
        <v>27625552500</v>
      </c>
      <c r="AH18" s="263">
        <f t="shared" si="4"/>
        <v>82671181000</v>
      </c>
      <c r="AI18" s="263"/>
      <c r="AJ18" s="263">
        <f t="shared" si="5"/>
        <v>0</v>
      </c>
      <c r="AK18" s="263">
        <f t="shared" si="6"/>
        <v>2730273000</v>
      </c>
      <c r="AL18" s="263">
        <f t="shared" si="7"/>
        <v>6615220500</v>
      </c>
      <c r="AM18" s="263">
        <f t="shared" si="8"/>
        <v>9050181000</v>
      </c>
      <c r="AN18" s="263">
        <f t="shared" si="9"/>
        <v>27650395000</v>
      </c>
      <c r="AO18" s="263"/>
      <c r="AP18" s="263">
        <f t="shared" si="10"/>
        <v>0</v>
      </c>
      <c r="AQ18" s="263">
        <f t="shared" si="11"/>
        <v>345034500</v>
      </c>
      <c r="AR18" s="263">
        <f t="shared" si="12"/>
        <v>540018000</v>
      </c>
      <c r="AS18" s="263">
        <f t="shared" si="13"/>
        <v>750015000</v>
      </c>
      <c r="AT18" s="263">
        <f t="shared" si="14"/>
        <v>1960028000</v>
      </c>
      <c r="AU18" s="263"/>
      <c r="AV18" s="263"/>
    </row>
    <row r="19" spans="1:48" ht="12.45" customHeight="1">
      <c r="A19" s="10" t="s">
        <v>571</v>
      </c>
      <c r="B19" s="119">
        <v>9588000</v>
      </c>
      <c r="C19" s="9">
        <v>4655000</v>
      </c>
      <c r="D19" s="9">
        <v>933000</v>
      </c>
      <c r="E19" s="9">
        <v>1064000</v>
      </c>
      <c r="F19" s="9">
        <v>922000</v>
      </c>
      <c r="G19" s="9">
        <v>2014000</v>
      </c>
      <c r="H19" s="143">
        <v>3999000</v>
      </c>
      <c r="I19" s="9">
        <v>1699000</v>
      </c>
      <c r="J19" s="9">
        <v>426000</v>
      </c>
      <c r="K19" s="9">
        <v>327000</v>
      </c>
      <c r="L19" s="9">
        <v>232000</v>
      </c>
      <c r="M19" s="9">
        <v>661000</v>
      </c>
      <c r="N19" s="137">
        <v>572000</v>
      </c>
      <c r="O19" s="9">
        <v>298000</v>
      </c>
      <c r="P19" s="9">
        <v>61000</v>
      </c>
      <c r="Q19" s="9">
        <v>29000</v>
      </c>
      <c r="R19" s="9">
        <v>27000</v>
      </c>
      <c r="S19" s="9">
        <v>53000</v>
      </c>
      <c r="T19" s="104">
        <v>1020000</v>
      </c>
      <c r="U19" s="9">
        <v>499000</v>
      </c>
      <c r="V19" s="9">
        <v>69000</v>
      </c>
      <c r="W19" s="9">
        <v>101000</v>
      </c>
      <c r="X19" s="9">
        <v>47000</v>
      </c>
      <c r="Y19" s="9">
        <v>122000</v>
      </c>
      <c r="AC19" s="263"/>
      <c r="AD19" s="263">
        <f t="shared" si="0"/>
        <v>0</v>
      </c>
      <c r="AE19" s="263">
        <f t="shared" si="1"/>
        <v>4665466500</v>
      </c>
      <c r="AF19" s="263">
        <f t="shared" si="2"/>
        <v>15960532000</v>
      </c>
      <c r="AG19" s="263">
        <f t="shared" si="3"/>
        <v>23050461000</v>
      </c>
      <c r="AH19" s="263">
        <f t="shared" si="4"/>
        <v>70491007000</v>
      </c>
      <c r="AI19" s="263"/>
      <c r="AJ19" s="263">
        <f t="shared" si="5"/>
        <v>0</v>
      </c>
      <c r="AK19" s="263">
        <f t="shared" si="6"/>
        <v>2130213000</v>
      </c>
      <c r="AL19" s="263">
        <f t="shared" si="7"/>
        <v>4905163500</v>
      </c>
      <c r="AM19" s="263">
        <f t="shared" si="8"/>
        <v>5800116000</v>
      </c>
      <c r="AN19" s="263">
        <f t="shared" si="9"/>
        <v>23135330500</v>
      </c>
      <c r="AO19" s="263"/>
      <c r="AP19" s="263">
        <f t="shared" si="10"/>
        <v>0</v>
      </c>
      <c r="AQ19" s="263">
        <f t="shared" si="11"/>
        <v>305030500</v>
      </c>
      <c r="AR19" s="263">
        <f t="shared" si="12"/>
        <v>435014500</v>
      </c>
      <c r="AS19" s="263">
        <f t="shared" si="13"/>
        <v>675013500</v>
      </c>
      <c r="AT19" s="263">
        <f t="shared" si="14"/>
        <v>1855026500</v>
      </c>
      <c r="AU19" s="263"/>
      <c r="AV19" s="263"/>
    </row>
    <row r="20" spans="1:48" ht="12.45" customHeight="1">
      <c r="A20" s="10" t="s">
        <v>572</v>
      </c>
      <c r="B20" s="119">
        <v>3723000</v>
      </c>
      <c r="C20" s="9">
        <v>1711000</v>
      </c>
      <c r="D20" s="9">
        <v>350000</v>
      </c>
      <c r="E20" s="9">
        <v>383000</v>
      </c>
      <c r="F20" s="9">
        <v>402000</v>
      </c>
      <c r="G20" s="9">
        <v>876000</v>
      </c>
      <c r="H20" s="143">
        <v>2462000</v>
      </c>
      <c r="I20" s="9">
        <v>984000</v>
      </c>
      <c r="J20" s="9">
        <v>257000</v>
      </c>
      <c r="K20" s="9">
        <v>205000</v>
      </c>
      <c r="L20" s="9">
        <v>187000</v>
      </c>
      <c r="M20" s="9">
        <v>432000</v>
      </c>
      <c r="N20" s="137">
        <v>393000</v>
      </c>
      <c r="O20" s="9">
        <v>199000</v>
      </c>
      <c r="P20" s="9">
        <v>51000</v>
      </c>
      <c r="Q20" s="9">
        <v>25000</v>
      </c>
      <c r="R20" s="9">
        <v>17000</v>
      </c>
      <c r="S20" s="9">
        <v>39000</v>
      </c>
      <c r="T20" s="104">
        <v>521000</v>
      </c>
      <c r="U20" s="9">
        <v>254000</v>
      </c>
      <c r="V20" s="9">
        <v>59000</v>
      </c>
      <c r="W20" s="9">
        <v>29000</v>
      </c>
      <c r="X20" s="9">
        <v>18000</v>
      </c>
      <c r="Y20" s="9">
        <v>93000</v>
      </c>
      <c r="AC20" s="263"/>
      <c r="AD20" s="263">
        <f t="shared" si="0"/>
        <v>0</v>
      </c>
      <c r="AE20" s="263">
        <f t="shared" si="1"/>
        <v>1750175000</v>
      </c>
      <c r="AF20" s="263">
        <f t="shared" si="2"/>
        <v>5745191500</v>
      </c>
      <c r="AG20" s="263">
        <f t="shared" si="3"/>
        <v>10050201000</v>
      </c>
      <c r="AH20" s="263">
        <f t="shared" si="4"/>
        <v>30660438000</v>
      </c>
      <c r="AI20" s="263"/>
      <c r="AJ20" s="263">
        <f t="shared" si="5"/>
        <v>0</v>
      </c>
      <c r="AK20" s="263">
        <f t="shared" si="6"/>
        <v>1285128500</v>
      </c>
      <c r="AL20" s="263">
        <f t="shared" si="7"/>
        <v>3075102500</v>
      </c>
      <c r="AM20" s="263">
        <f t="shared" si="8"/>
        <v>4675093500</v>
      </c>
      <c r="AN20" s="263">
        <f t="shared" si="9"/>
        <v>15120216000</v>
      </c>
      <c r="AO20" s="263"/>
      <c r="AP20" s="263">
        <f t="shared" si="10"/>
        <v>0</v>
      </c>
      <c r="AQ20" s="263">
        <f t="shared" si="11"/>
        <v>255025500</v>
      </c>
      <c r="AR20" s="263">
        <f t="shared" si="12"/>
        <v>375012500</v>
      </c>
      <c r="AS20" s="263">
        <f t="shared" si="13"/>
        <v>425008500</v>
      </c>
      <c r="AT20" s="263">
        <f t="shared" si="14"/>
        <v>1365019500</v>
      </c>
      <c r="AU20" s="263"/>
      <c r="AV20" s="263"/>
    </row>
    <row r="21" spans="1:48" ht="12.45" customHeight="1">
      <c r="A21" s="10" t="s">
        <v>564</v>
      </c>
      <c r="B21" s="119">
        <v>511000</v>
      </c>
      <c r="C21" s="9">
        <v>283000</v>
      </c>
      <c r="D21" s="9">
        <v>35000</v>
      </c>
      <c r="E21" s="9">
        <v>31000</v>
      </c>
      <c r="F21" s="9">
        <v>49000</v>
      </c>
      <c r="G21" s="9">
        <v>112000</v>
      </c>
      <c r="H21" s="143">
        <v>273000</v>
      </c>
      <c r="I21" s="9">
        <v>145000</v>
      </c>
      <c r="J21" s="9">
        <v>27000</v>
      </c>
      <c r="K21" s="9">
        <v>17000</v>
      </c>
      <c r="L21" s="9">
        <v>12000</v>
      </c>
      <c r="M21" s="9">
        <v>39000</v>
      </c>
      <c r="N21" s="137">
        <v>80000</v>
      </c>
      <c r="O21" s="9">
        <v>40000</v>
      </c>
      <c r="P21" s="9">
        <v>6000</v>
      </c>
      <c r="Q21" s="9">
        <v>3000</v>
      </c>
      <c r="R21" s="9">
        <v>3000</v>
      </c>
      <c r="S21" s="9">
        <v>8000</v>
      </c>
      <c r="T21" s="104">
        <v>172000</v>
      </c>
      <c r="U21" s="9">
        <v>77000</v>
      </c>
      <c r="V21" s="9">
        <v>10000</v>
      </c>
      <c r="W21" s="9">
        <v>7000</v>
      </c>
      <c r="X21" s="13" t="s">
        <v>191</v>
      </c>
      <c r="Y21" s="9">
        <v>10000</v>
      </c>
      <c r="AC21" s="263"/>
      <c r="AD21" s="263">
        <f t="shared" si="0"/>
        <v>0</v>
      </c>
      <c r="AE21" s="263">
        <f t="shared" si="1"/>
        <v>175017500</v>
      </c>
      <c r="AF21" s="263">
        <f t="shared" si="2"/>
        <v>465015500</v>
      </c>
      <c r="AG21" s="263">
        <f t="shared" si="3"/>
        <v>1225024500</v>
      </c>
      <c r="AH21" s="263">
        <f t="shared" si="4"/>
        <v>3920056000</v>
      </c>
      <c r="AI21" s="263"/>
      <c r="AJ21" s="263">
        <f t="shared" si="5"/>
        <v>0</v>
      </c>
      <c r="AK21" s="263">
        <f t="shared" si="6"/>
        <v>135013500</v>
      </c>
      <c r="AL21" s="263">
        <f t="shared" si="7"/>
        <v>255008500</v>
      </c>
      <c r="AM21" s="263">
        <f t="shared" si="8"/>
        <v>300006000</v>
      </c>
      <c r="AN21" s="263">
        <f t="shared" si="9"/>
        <v>1365019500</v>
      </c>
      <c r="AO21" s="263"/>
      <c r="AP21" s="263">
        <f t="shared" si="10"/>
        <v>0</v>
      </c>
      <c r="AQ21" s="263">
        <f t="shared" si="11"/>
        <v>30003000</v>
      </c>
      <c r="AR21" s="263">
        <f t="shared" si="12"/>
        <v>45001500</v>
      </c>
      <c r="AS21" s="263">
        <f t="shared" si="13"/>
        <v>75001500</v>
      </c>
      <c r="AT21" s="263">
        <f t="shared" si="14"/>
        <v>280004000</v>
      </c>
      <c r="AU21" s="263"/>
      <c r="AV21" s="263"/>
    </row>
    <row r="22" spans="1:48" ht="12.45" customHeight="1">
      <c r="A22" s="10" t="s">
        <v>565</v>
      </c>
      <c r="B22" s="119">
        <v>389000</v>
      </c>
      <c r="C22" s="9">
        <v>198000</v>
      </c>
      <c r="D22" s="9">
        <v>26000</v>
      </c>
      <c r="E22" s="9">
        <v>36000</v>
      </c>
      <c r="F22" s="9">
        <v>41000</v>
      </c>
      <c r="G22" s="9">
        <v>88000</v>
      </c>
      <c r="H22" s="143">
        <v>308000</v>
      </c>
      <c r="I22" s="9">
        <v>130000</v>
      </c>
      <c r="J22" s="9">
        <v>25000</v>
      </c>
      <c r="K22" s="9">
        <v>24000</v>
      </c>
      <c r="L22" s="9">
        <v>20000</v>
      </c>
      <c r="M22" s="9">
        <v>37000</v>
      </c>
      <c r="N22" s="137">
        <v>81000</v>
      </c>
      <c r="O22" s="9">
        <v>46000</v>
      </c>
      <c r="P22" s="13" t="s">
        <v>191</v>
      </c>
      <c r="Q22" s="9">
        <v>3000</v>
      </c>
      <c r="R22" s="9">
        <v>2000</v>
      </c>
      <c r="S22" s="9">
        <v>8000</v>
      </c>
      <c r="T22" s="104">
        <v>103000</v>
      </c>
      <c r="U22" s="9">
        <v>65000</v>
      </c>
      <c r="V22" s="13" t="s">
        <v>220</v>
      </c>
      <c r="W22" s="13" t="s">
        <v>191</v>
      </c>
      <c r="X22" s="13" t="s">
        <v>191</v>
      </c>
      <c r="Y22" s="9">
        <v>9000</v>
      </c>
      <c r="AC22" s="263"/>
      <c r="AD22" s="263">
        <f t="shared" si="0"/>
        <v>0</v>
      </c>
      <c r="AE22" s="263">
        <f t="shared" si="1"/>
        <v>130013000</v>
      </c>
      <c r="AF22" s="263">
        <f t="shared" si="2"/>
        <v>540018000</v>
      </c>
      <c r="AG22" s="263">
        <f t="shared" si="3"/>
        <v>1025020500</v>
      </c>
      <c r="AH22" s="263">
        <f t="shared" si="4"/>
        <v>3080044000</v>
      </c>
      <c r="AI22" s="263"/>
      <c r="AJ22" s="263">
        <f t="shared" si="5"/>
        <v>0</v>
      </c>
      <c r="AK22" s="263">
        <f t="shared" si="6"/>
        <v>125012500</v>
      </c>
      <c r="AL22" s="263">
        <f t="shared" si="7"/>
        <v>360012000</v>
      </c>
      <c r="AM22" s="263">
        <f t="shared" si="8"/>
        <v>500010000</v>
      </c>
      <c r="AN22" s="263">
        <f t="shared" si="9"/>
        <v>1295018500</v>
      </c>
      <c r="AO22" s="263"/>
      <c r="AP22" s="263">
        <f t="shared" si="10"/>
        <v>0</v>
      </c>
      <c r="AQ22" s="263" t="e">
        <f t="shared" si="11"/>
        <v>#VALUE!</v>
      </c>
      <c r="AR22" s="263">
        <f t="shared" si="12"/>
        <v>45001500</v>
      </c>
      <c r="AS22" s="263">
        <f t="shared" si="13"/>
        <v>50001000</v>
      </c>
      <c r="AT22" s="263">
        <f t="shared" si="14"/>
        <v>280004000</v>
      </c>
      <c r="AU22" s="263"/>
      <c r="AV22" s="263"/>
    </row>
    <row r="23" spans="1:48" ht="12.45" customHeight="1">
      <c r="A23" s="10" t="s">
        <v>566</v>
      </c>
      <c r="B23" s="119">
        <v>697000</v>
      </c>
      <c r="C23" s="9">
        <v>304000</v>
      </c>
      <c r="D23" s="9">
        <v>63000</v>
      </c>
      <c r="E23" s="9">
        <v>81000</v>
      </c>
      <c r="F23" s="9">
        <v>58000</v>
      </c>
      <c r="G23" s="9">
        <v>192000</v>
      </c>
      <c r="H23" s="143">
        <v>261000</v>
      </c>
      <c r="I23" s="9">
        <v>76000</v>
      </c>
      <c r="J23" s="9">
        <v>9000</v>
      </c>
      <c r="K23" s="9">
        <v>23000</v>
      </c>
      <c r="L23" s="9">
        <v>6000</v>
      </c>
      <c r="M23" s="9">
        <v>55000</v>
      </c>
      <c r="N23" s="137">
        <v>27000</v>
      </c>
      <c r="O23" s="9">
        <v>12000</v>
      </c>
      <c r="P23" s="9">
        <v>1000</v>
      </c>
      <c r="Q23" s="13" t="s">
        <v>191</v>
      </c>
      <c r="R23" s="13" t="s">
        <v>220</v>
      </c>
      <c r="S23" s="13" t="s">
        <v>191</v>
      </c>
      <c r="T23" s="104">
        <v>44000</v>
      </c>
      <c r="U23" s="9">
        <v>16000</v>
      </c>
      <c r="V23" s="13" t="s">
        <v>220</v>
      </c>
      <c r="W23" s="13" t="s">
        <v>220</v>
      </c>
      <c r="X23" s="13" t="s">
        <v>220</v>
      </c>
      <c r="Y23" s="13" t="s">
        <v>220</v>
      </c>
      <c r="AC23" s="263"/>
      <c r="AD23" s="263">
        <f t="shared" si="0"/>
        <v>0</v>
      </c>
      <c r="AE23" s="263">
        <f t="shared" si="1"/>
        <v>315031500</v>
      </c>
      <c r="AF23" s="263">
        <f t="shared" si="2"/>
        <v>1215040500</v>
      </c>
      <c r="AG23" s="263">
        <f t="shared" si="3"/>
        <v>1450029000</v>
      </c>
      <c r="AH23" s="263">
        <f t="shared" si="4"/>
        <v>6720096000</v>
      </c>
      <c r="AI23" s="263"/>
      <c r="AJ23" s="263">
        <f t="shared" si="5"/>
        <v>0</v>
      </c>
      <c r="AK23" s="263">
        <f t="shared" si="6"/>
        <v>45004500</v>
      </c>
      <c r="AL23" s="263">
        <f t="shared" si="7"/>
        <v>345011500</v>
      </c>
      <c r="AM23" s="263">
        <f t="shared" si="8"/>
        <v>150003000</v>
      </c>
      <c r="AN23" s="263">
        <f t="shared" si="9"/>
        <v>1925027500</v>
      </c>
      <c r="AO23" s="263"/>
      <c r="AP23" s="263">
        <f t="shared" si="10"/>
        <v>0</v>
      </c>
      <c r="AQ23" s="263">
        <f t="shared" si="11"/>
        <v>5000500</v>
      </c>
      <c r="AR23" s="263" t="e">
        <f t="shared" si="12"/>
        <v>#VALUE!</v>
      </c>
      <c r="AS23" s="263" t="e">
        <f t="shared" si="13"/>
        <v>#VALUE!</v>
      </c>
      <c r="AT23" s="263" t="e">
        <f t="shared" si="14"/>
        <v>#VALUE!</v>
      </c>
      <c r="AU23" s="263"/>
      <c r="AV23" s="263"/>
    </row>
    <row r="24" spans="1:48" ht="12.45" customHeight="1">
      <c r="A24" s="8" t="s">
        <v>178</v>
      </c>
      <c r="B24" s="119">
        <v>15014000</v>
      </c>
      <c r="C24" s="9">
        <v>6578000</v>
      </c>
      <c r="D24" s="9">
        <v>1939000</v>
      </c>
      <c r="E24" s="9">
        <v>1814000</v>
      </c>
      <c r="F24" s="9">
        <v>1492000</v>
      </c>
      <c r="G24" s="9">
        <v>3192000</v>
      </c>
      <c r="H24" s="143">
        <v>4703000</v>
      </c>
      <c r="I24" s="9">
        <v>1912000</v>
      </c>
      <c r="J24" s="9">
        <v>506000</v>
      </c>
      <c r="K24" s="9">
        <v>403000</v>
      </c>
      <c r="L24" s="9">
        <v>299000</v>
      </c>
      <c r="M24" s="9">
        <v>620000</v>
      </c>
      <c r="N24" s="137">
        <v>1582000</v>
      </c>
      <c r="O24" s="9">
        <v>801000</v>
      </c>
      <c r="P24" s="9">
        <v>179000</v>
      </c>
      <c r="Q24" s="9">
        <v>87000</v>
      </c>
      <c r="R24" s="9">
        <v>68000</v>
      </c>
      <c r="S24" s="9">
        <v>109000</v>
      </c>
      <c r="T24" s="104">
        <v>58000</v>
      </c>
      <c r="U24" s="9">
        <v>24000</v>
      </c>
      <c r="V24" s="9">
        <v>3000</v>
      </c>
      <c r="W24" s="9">
        <v>5000</v>
      </c>
      <c r="X24" s="9">
        <v>4000</v>
      </c>
      <c r="Y24" s="9">
        <v>18000</v>
      </c>
      <c r="AC24" s="263"/>
      <c r="AD24" s="263">
        <f t="shared" si="0"/>
        <v>0</v>
      </c>
      <c r="AE24" s="263">
        <f t="shared" si="1"/>
        <v>9695969500</v>
      </c>
      <c r="AF24" s="263">
        <f t="shared" si="2"/>
        <v>27210907000</v>
      </c>
      <c r="AG24" s="263">
        <f t="shared" si="3"/>
        <v>37300746000</v>
      </c>
      <c r="AH24" s="263">
        <f t="shared" si="4"/>
        <v>111721596000</v>
      </c>
      <c r="AI24" s="263"/>
      <c r="AJ24" s="263">
        <f t="shared" si="5"/>
        <v>0</v>
      </c>
      <c r="AK24" s="263">
        <f t="shared" si="6"/>
        <v>2530253000</v>
      </c>
      <c r="AL24" s="263">
        <f t="shared" si="7"/>
        <v>6045201500</v>
      </c>
      <c r="AM24" s="263">
        <f t="shared" si="8"/>
        <v>7475149500</v>
      </c>
      <c r="AN24" s="263">
        <f t="shared" si="9"/>
        <v>21700310000</v>
      </c>
      <c r="AO24" s="263"/>
      <c r="AP24" s="263">
        <f t="shared" si="10"/>
        <v>0</v>
      </c>
      <c r="AQ24" s="263">
        <f t="shared" si="11"/>
        <v>895089500</v>
      </c>
      <c r="AR24" s="263">
        <f t="shared" si="12"/>
        <v>1305043500</v>
      </c>
      <c r="AS24" s="263">
        <f t="shared" si="13"/>
        <v>1700034000</v>
      </c>
      <c r="AT24" s="263">
        <f t="shared" si="14"/>
        <v>3815054500</v>
      </c>
      <c r="AU24" s="263"/>
      <c r="AV24" s="263"/>
    </row>
    <row r="25" spans="1:48" ht="12.45" customHeight="1">
      <c r="A25" s="10" t="s">
        <v>567</v>
      </c>
      <c r="B25" s="187"/>
      <c r="C25" s="53"/>
      <c r="D25" s="53"/>
      <c r="E25" s="53"/>
      <c r="F25" s="53"/>
      <c r="G25" s="53"/>
      <c r="H25" s="188"/>
      <c r="I25" s="53"/>
      <c r="J25" s="53"/>
      <c r="K25" s="53"/>
      <c r="L25" s="53"/>
      <c r="M25" s="53"/>
      <c r="N25" s="189"/>
      <c r="O25" s="53"/>
      <c r="P25" s="53"/>
      <c r="Q25" s="53"/>
      <c r="R25" s="53"/>
      <c r="S25" s="53"/>
      <c r="T25" s="190"/>
      <c r="U25" s="53"/>
      <c r="V25" s="53"/>
      <c r="W25" s="53"/>
      <c r="X25" s="53"/>
      <c r="Y25" s="53"/>
      <c r="AC25" s="263"/>
      <c r="AD25" s="263">
        <f t="shared" si="0"/>
        <v>0</v>
      </c>
      <c r="AE25" s="263">
        <f t="shared" si="1"/>
        <v>0</v>
      </c>
      <c r="AF25" s="263">
        <f t="shared" si="2"/>
        <v>0</v>
      </c>
      <c r="AG25" s="263">
        <f t="shared" si="3"/>
        <v>0</v>
      </c>
      <c r="AH25" s="263">
        <f t="shared" si="4"/>
        <v>0</v>
      </c>
      <c r="AI25" s="263"/>
      <c r="AJ25" s="263">
        <f t="shared" si="5"/>
        <v>0</v>
      </c>
      <c r="AK25" s="263">
        <f t="shared" si="6"/>
        <v>0</v>
      </c>
      <c r="AL25" s="263">
        <f t="shared" si="7"/>
        <v>0</v>
      </c>
      <c r="AM25" s="263">
        <f t="shared" si="8"/>
        <v>0</v>
      </c>
      <c r="AN25" s="263">
        <f t="shared" si="9"/>
        <v>0</v>
      </c>
      <c r="AO25" s="263"/>
      <c r="AP25" s="263">
        <f t="shared" si="10"/>
        <v>0</v>
      </c>
      <c r="AQ25" s="263">
        <f t="shared" si="11"/>
        <v>0</v>
      </c>
      <c r="AR25" s="263">
        <f t="shared" si="12"/>
        <v>0</v>
      </c>
      <c r="AS25" s="263">
        <f t="shared" si="13"/>
        <v>0</v>
      </c>
      <c r="AT25" s="263">
        <f t="shared" si="14"/>
        <v>0</v>
      </c>
      <c r="AU25" s="263"/>
      <c r="AV25" s="263"/>
    </row>
    <row r="26" spans="1:48" ht="12.45" customHeight="1">
      <c r="A26" s="12" t="s">
        <v>568</v>
      </c>
      <c r="B26" s="119">
        <v>1884000</v>
      </c>
      <c r="C26" s="9">
        <v>816000</v>
      </c>
      <c r="D26" s="9">
        <v>345000</v>
      </c>
      <c r="E26" s="9">
        <v>250000</v>
      </c>
      <c r="F26" s="9">
        <v>173000</v>
      </c>
      <c r="G26" s="9">
        <v>300000</v>
      </c>
      <c r="H26" s="143">
        <v>535000</v>
      </c>
      <c r="I26" s="9">
        <v>205000</v>
      </c>
      <c r="J26" s="9">
        <v>74000</v>
      </c>
      <c r="K26" s="9">
        <v>44000</v>
      </c>
      <c r="L26" s="9">
        <v>32000</v>
      </c>
      <c r="M26" s="9">
        <v>56000</v>
      </c>
      <c r="N26" s="137">
        <v>198000</v>
      </c>
      <c r="O26" s="9">
        <v>92000</v>
      </c>
      <c r="P26" s="9">
        <v>25000</v>
      </c>
      <c r="Q26" s="9">
        <v>8000</v>
      </c>
      <c r="R26" s="9">
        <v>9000</v>
      </c>
      <c r="S26" s="9">
        <v>8000</v>
      </c>
      <c r="T26" s="104">
        <v>15000</v>
      </c>
      <c r="U26" s="9">
        <v>2000</v>
      </c>
      <c r="V26" s="13" t="s">
        <v>191</v>
      </c>
      <c r="W26" s="13" t="s">
        <v>220</v>
      </c>
      <c r="X26" s="13" t="s">
        <v>220</v>
      </c>
      <c r="Y26" s="13" t="s">
        <v>191</v>
      </c>
      <c r="AC26" s="263"/>
      <c r="AD26" s="263">
        <f t="shared" si="0"/>
        <v>0</v>
      </c>
      <c r="AE26" s="263">
        <f t="shared" si="1"/>
        <v>1725172500</v>
      </c>
      <c r="AF26" s="263">
        <f t="shared" si="2"/>
        <v>3750125000</v>
      </c>
      <c r="AG26" s="263">
        <f t="shared" si="3"/>
        <v>4325086500</v>
      </c>
      <c r="AH26" s="263">
        <f t="shared" si="4"/>
        <v>10500150000</v>
      </c>
      <c r="AI26" s="263"/>
      <c r="AJ26" s="263">
        <f t="shared" si="5"/>
        <v>0</v>
      </c>
      <c r="AK26" s="263">
        <f t="shared" si="6"/>
        <v>370037000</v>
      </c>
      <c r="AL26" s="263">
        <f t="shared" si="7"/>
        <v>660022000</v>
      </c>
      <c r="AM26" s="263">
        <f t="shared" si="8"/>
        <v>800016000</v>
      </c>
      <c r="AN26" s="263">
        <f t="shared" si="9"/>
        <v>1960028000</v>
      </c>
      <c r="AO26" s="263"/>
      <c r="AP26" s="263">
        <f t="shared" si="10"/>
        <v>0</v>
      </c>
      <c r="AQ26" s="263">
        <f t="shared" si="11"/>
        <v>125012500</v>
      </c>
      <c r="AR26" s="263">
        <f t="shared" si="12"/>
        <v>120004000</v>
      </c>
      <c r="AS26" s="263">
        <f t="shared" si="13"/>
        <v>225004500</v>
      </c>
      <c r="AT26" s="263">
        <f t="shared" si="14"/>
        <v>280004000</v>
      </c>
      <c r="AU26" s="263"/>
      <c r="AV26" s="263"/>
    </row>
    <row r="27" spans="1:48" ht="12.45" customHeight="1">
      <c r="A27" s="12" t="s">
        <v>569</v>
      </c>
      <c r="B27" s="119">
        <v>3560000</v>
      </c>
      <c r="C27" s="9">
        <v>1399000</v>
      </c>
      <c r="D27" s="9">
        <v>515000</v>
      </c>
      <c r="E27" s="9">
        <v>446000</v>
      </c>
      <c r="F27" s="9">
        <v>376000</v>
      </c>
      <c r="G27" s="9">
        <v>823000</v>
      </c>
      <c r="H27" s="143">
        <v>927000</v>
      </c>
      <c r="I27" s="9">
        <v>295000</v>
      </c>
      <c r="J27" s="9">
        <v>119000</v>
      </c>
      <c r="K27" s="9">
        <v>95000</v>
      </c>
      <c r="L27" s="9">
        <v>64000</v>
      </c>
      <c r="M27" s="9">
        <v>153000</v>
      </c>
      <c r="N27" s="137">
        <v>256000</v>
      </c>
      <c r="O27" s="9">
        <v>108000</v>
      </c>
      <c r="P27" s="9">
        <v>35000</v>
      </c>
      <c r="Q27" s="9">
        <v>19000</v>
      </c>
      <c r="R27" s="9">
        <v>15000</v>
      </c>
      <c r="S27" s="9">
        <v>18000</v>
      </c>
      <c r="T27" s="104">
        <v>9000</v>
      </c>
      <c r="U27" s="13" t="s">
        <v>191</v>
      </c>
      <c r="V27" s="13" t="s">
        <v>191</v>
      </c>
      <c r="W27" s="13" t="s">
        <v>220</v>
      </c>
      <c r="X27" s="13" t="s">
        <v>220</v>
      </c>
      <c r="Y27" s="9">
        <v>1000</v>
      </c>
      <c r="AC27" s="263"/>
      <c r="AD27" s="263">
        <f t="shared" si="0"/>
        <v>0</v>
      </c>
      <c r="AE27" s="263">
        <f t="shared" si="1"/>
        <v>2575257500</v>
      </c>
      <c r="AF27" s="263">
        <f t="shared" si="2"/>
        <v>6690223000</v>
      </c>
      <c r="AG27" s="263">
        <f t="shared" si="3"/>
        <v>9400188000</v>
      </c>
      <c r="AH27" s="263">
        <f t="shared" si="4"/>
        <v>28805411500</v>
      </c>
      <c r="AI27" s="263"/>
      <c r="AJ27" s="263">
        <f t="shared" si="5"/>
        <v>0</v>
      </c>
      <c r="AK27" s="263">
        <f t="shared" si="6"/>
        <v>595059500</v>
      </c>
      <c r="AL27" s="263">
        <f t="shared" si="7"/>
        <v>1425047500</v>
      </c>
      <c r="AM27" s="263">
        <f t="shared" si="8"/>
        <v>1600032000</v>
      </c>
      <c r="AN27" s="263">
        <f t="shared" si="9"/>
        <v>5355076500</v>
      </c>
      <c r="AO27" s="263"/>
      <c r="AP27" s="263">
        <f t="shared" si="10"/>
        <v>0</v>
      </c>
      <c r="AQ27" s="263">
        <f t="shared" si="11"/>
        <v>175017500</v>
      </c>
      <c r="AR27" s="263">
        <f t="shared" si="12"/>
        <v>285009500</v>
      </c>
      <c r="AS27" s="263">
        <f t="shared" si="13"/>
        <v>375007500</v>
      </c>
      <c r="AT27" s="263">
        <f t="shared" si="14"/>
        <v>630009000</v>
      </c>
      <c r="AU27" s="263"/>
      <c r="AV27" s="263"/>
    </row>
    <row r="28" spans="1:48" ht="12.45" customHeight="1">
      <c r="A28" s="81" t="s">
        <v>570</v>
      </c>
      <c r="B28" s="119">
        <v>2757000</v>
      </c>
      <c r="C28" s="9">
        <v>1006000</v>
      </c>
      <c r="D28" s="9">
        <v>384000</v>
      </c>
      <c r="E28" s="9">
        <v>381000</v>
      </c>
      <c r="F28" s="9">
        <v>296000</v>
      </c>
      <c r="G28" s="9">
        <v>689000</v>
      </c>
      <c r="H28" s="143">
        <v>758000</v>
      </c>
      <c r="I28" s="9">
        <v>263000</v>
      </c>
      <c r="J28" s="9">
        <v>94000</v>
      </c>
      <c r="K28" s="9">
        <v>65000</v>
      </c>
      <c r="L28" s="9">
        <v>69000</v>
      </c>
      <c r="M28" s="9">
        <v>133000</v>
      </c>
      <c r="N28" s="137">
        <v>205000</v>
      </c>
      <c r="O28" s="9">
        <v>100000</v>
      </c>
      <c r="P28" s="9">
        <v>20000</v>
      </c>
      <c r="Q28" s="9">
        <v>17000</v>
      </c>
      <c r="R28" s="9">
        <v>5000</v>
      </c>
      <c r="S28" s="9">
        <v>21000</v>
      </c>
      <c r="T28" s="104">
        <v>8000</v>
      </c>
      <c r="U28" s="9">
        <v>3000</v>
      </c>
      <c r="V28" s="9">
        <v>1000</v>
      </c>
      <c r="W28" s="13" t="s">
        <v>220</v>
      </c>
      <c r="X28" s="13" t="s">
        <v>220</v>
      </c>
      <c r="Y28" s="13" t="s">
        <v>191</v>
      </c>
      <c r="AC28" s="263"/>
      <c r="AD28" s="263">
        <f t="shared" si="0"/>
        <v>0</v>
      </c>
      <c r="AE28" s="263">
        <f t="shared" si="1"/>
        <v>1920192000</v>
      </c>
      <c r="AF28" s="263">
        <f t="shared" si="2"/>
        <v>5715190500</v>
      </c>
      <c r="AG28" s="263">
        <f t="shared" si="3"/>
        <v>7400148000</v>
      </c>
      <c r="AH28" s="263">
        <f t="shared" si="4"/>
        <v>24115344500</v>
      </c>
      <c r="AI28" s="263"/>
      <c r="AJ28" s="263">
        <f t="shared" si="5"/>
        <v>0</v>
      </c>
      <c r="AK28" s="263">
        <f t="shared" si="6"/>
        <v>470047000</v>
      </c>
      <c r="AL28" s="263">
        <f t="shared" si="7"/>
        <v>975032500</v>
      </c>
      <c r="AM28" s="263">
        <f t="shared" si="8"/>
        <v>1725034500</v>
      </c>
      <c r="AN28" s="263">
        <f t="shared" si="9"/>
        <v>4655066500</v>
      </c>
      <c r="AO28" s="263"/>
      <c r="AP28" s="263">
        <f t="shared" si="10"/>
        <v>0</v>
      </c>
      <c r="AQ28" s="263">
        <f t="shared" si="11"/>
        <v>100010000</v>
      </c>
      <c r="AR28" s="263">
        <f t="shared" si="12"/>
        <v>255008500</v>
      </c>
      <c r="AS28" s="263">
        <f t="shared" si="13"/>
        <v>125002500</v>
      </c>
      <c r="AT28" s="263">
        <f t="shared" si="14"/>
        <v>735010500</v>
      </c>
      <c r="AU28" s="263"/>
      <c r="AV28" s="263"/>
    </row>
    <row r="29" spans="1:48" ht="12.45" customHeight="1">
      <c r="A29" s="12" t="s">
        <v>571</v>
      </c>
      <c r="B29" s="119">
        <v>3485000</v>
      </c>
      <c r="C29" s="9">
        <v>1669000</v>
      </c>
      <c r="D29" s="9">
        <v>378000</v>
      </c>
      <c r="E29" s="9">
        <v>392000</v>
      </c>
      <c r="F29" s="9">
        <v>350000</v>
      </c>
      <c r="G29" s="9">
        <v>696000</v>
      </c>
      <c r="H29" s="143">
        <v>1198000</v>
      </c>
      <c r="I29" s="9">
        <v>550000</v>
      </c>
      <c r="J29" s="9">
        <v>124000</v>
      </c>
      <c r="K29" s="9">
        <v>80000</v>
      </c>
      <c r="L29" s="9">
        <v>64000</v>
      </c>
      <c r="M29" s="9">
        <v>138000</v>
      </c>
      <c r="N29" s="137">
        <v>397000</v>
      </c>
      <c r="O29" s="9">
        <v>213000</v>
      </c>
      <c r="P29" s="9">
        <v>49000</v>
      </c>
      <c r="Q29" s="9">
        <v>17000</v>
      </c>
      <c r="R29" s="9">
        <v>13000</v>
      </c>
      <c r="S29" s="9">
        <v>24000</v>
      </c>
      <c r="T29" s="104">
        <v>10000</v>
      </c>
      <c r="U29" s="9">
        <v>7000</v>
      </c>
      <c r="V29" s="13" t="s">
        <v>220</v>
      </c>
      <c r="W29" s="13" t="s">
        <v>220</v>
      </c>
      <c r="X29" s="13" t="s">
        <v>220</v>
      </c>
      <c r="Y29" s="9">
        <v>2000</v>
      </c>
      <c r="AC29" s="263"/>
      <c r="AD29" s="263">
        <f t="shared" si="0"/>
        <v>0</v>
      </c>
      <c r="AE29" s="263">
        <f t="shared" si="1"/>
        <v>1890189000</v>
      </c>
      <c r="AF29" s="263">
        <f t="shared" si="2"/>
        <v>5880196000</v>
      </c>
      <c r="AG29" s="263">
        <f t="shared" si="3"/>
        <v>8750175000</v>
      </c>
      <c r="AH29" s="263">
        <f t="shared" si="4"/>
        <v>24360348000</v>
      </c>
      <c r="AI29" s="263"/>
      <c r="AJ29" s="263">
        <f t="shared" si="5"/>
        <v>0</v>
      </c>
      <c r="AK29" s="263">
        <f t="shared" si="6"/>
        <v>620062000</v>
      </c>
      <c r="AL29" s="263">
        <f t="shared" si="7"/>
        <v>1200040000</v>
      </c>
      <c r="AM29" s="263">
        <f t="shared" si="8"/>
        <v>1600032000</v>
      </c>
      <c r="AN29" s="263">
        <f t="shared" si="9"/>
        <v>4830069000</v>
      </c>
      <c r="AO29" s="263"/>
      <c r="AP29" s="263">
        <f t="shared" si="10"/>
        <v>0</v>
      </c>
      <c r="AQ29" s="263">
        <f t="shared" si="11"/>
        <v>245024500</v>
      </c>
      <c r="AR29" s="263">
        <f t="shared" si="12"/>
        <v>255008500</v>
      </c>
      <c r="AS29" s="263">
        <f t="shared" si="13"/>
        <v>325006500</v>
      </c>
      <c r="AT29" s="263">
        <f t="shared" si="14"/>
        <v>840012000</v>
      </c>
      <c r="AU29" s="263"/>
      <c r="AV29" s="263"/>
    </row>
    <row r="30" spans="1:48" ht="12.45" customHeight="1">
      <c r="A30" s="12" t="s">
        <v>572</v>
      </c>
      <c r="B30" s="119">
        <v>1742000</v>
      </c>
      <c r="C30" s="9">
        <v>817000</v>
      </c>
      <c r="D30" s="9">
        <v>177000</v>
      </c>
      <c r="E30" s="9">
        <v>194000</v>
      </c>
      <c r="F30" s="9">
        <v>171000</v>
      </c>
      <c r="G30" s="9">
        <v>383000</v>
      </c>
      <c r="H30" s="143">
        <v>657000</v>
      </c>
      <c r="I30" s="9">
        <v>282000</v>
      </c>
      <c r="J30" s="9">
        <v>54000</v>
      </c>
      <c r="K30" s="9">
        <v>77000</v>
      </c>
      <c r="L30" s="9">
        <v>33000</v>
      </c>
      <c r="M30" s="9">
        <v>76000</v>
      </c>
      <c r="N30" s="137">
        <v>233000</v>
      </c>
      <c r="O30" s="9">
        <v>119000</v>
      </c>
      <c r="P30" s="9">
        <v>24000</v>
      </c>
      <c r="Q30" s="9">
        <v>10000</v>
      </c>
      <c r="R30" s="9">
        <v>15000</v>
      </c>
      <c r="S30" s="9">
        <v>20000</v>
      </c>
      <c r="T30" s="104">
        <v>8000</v>
      </c>
      <c r="U30" s="9">
        <v>4000</v>
      </c>
      <c r="V30" s="13" t="s">
        <v>220</v>
      </c>
      <c r="W30" s="13" t="s">
        <v>220</v>
      </c>
      <c r="X30" s="13" t="s">
        <v>220</v>
      </c>
      <c r="Y30" s="13" t="s">
        <v>191</v>
      </c>
      <c r="AC30" s="263"/>
      <c r="AD30" s="263">
        <f t="shared" si="0"/>
        <v>0</v>
      </c>
      <c r="AE30" s="263">
        <f t="shared" si="1"/>
        <v>885088500</v>
      </c>
      <c r="AF30" s="263">
        <f t="shared" si="2"/>
        <v>2910097000</v>
      </c>
      <c r="AG30" s="263">
        <f t="shared" si="3"/>
        <v>4275085500</v>
      </c>
      <c r="AH30" s="263">
        <f t="shared" si="4"/>
        <v>13405191500</v>
      </c>
      <c r="AI30" s="263"/>
      <c r="AJ30" s="263">
        <f t="shared" si="5"/>
        <v>0</v>
      </c>
      <c r="AK30" s="263">
        <f t="shared" si="6"/>
        <v>270027000</v>
      </c>
      <c r="AL30" s="263">
        <f t="shared" si="7"/>
        <v>1155038500</v>
      </c>
      <c r="AM30" s="263">
        <f t="shared" si="8"/>
        <v>825016500</v>
      </c>
      <c r="AN30" s="263">
        <f t="shared" si="9"/>
        <v>2660038000</v>
      </c>
      <c r="AO30" s="263"/>
      <c r="AP30" s="263">
        <f t="shared" si="10"/>
        <v>0</v>
      </c>
      <c r="AQ30" s="263">
        <f t="shared" si="11"/>
        <v>120012000</v>
      </c>
      <c r="AR30" s="263">
        <f t="shared" si="12"/>
        <v>150005000</v>
      </c>
      <c r="AS30" s="263">
        <f t="shared" si="13"/>
        <v>375007500</v>
      </c>
      <c r="AT30" s="263">
        <f t="shared" si="14"/>
        <v>700010000</v>
      </c>
      <c r="AU30" s="263"/>
      <c r="AV30" s="263"/>
    </row>
    <row r="31" spans="1:48" ht="12.45" customHeight="1">
      <c r="A31" s="12" t="s">
        <v>564</v>
      </c>
      <c r="B31" s="119">
        <v>625000</v>
      </c>
      <c r="C31" s="9">
        <v>401000</v>
      </c>
      <c r="D31" s="9">
        <v>50000</v>
      </c>
      <c r="E31" s="9">
        <v>43000</v>
      </c>
      <c r="F31" s="9">
        <v>41000</v>
      </c>
      <c r="G31" s="9">
        <v>90000</v>
      </c>
      <c r="H31" s="143">
        <v>252000</v>
      </c>
      <c r="I31" s="9">
        <v>140000</v>
      </c>
      <c r="J31" s="9">
        <v>17000</v>
      </c>
      <c r="K31" s="9">
        <v>14000</v>
      </c>
      <c r="L31" s="9">
        <v>10000</v>
      </c>
      <c r="M31" s="9">
        <v>23000</v>
      </c>
      <c r="N31" s="137">
        <v>128000</v>
      </c>
      <c r="O31" s="9">
        <v>79000</v>
      </c>
      <c r="P31" s="9">
        <v>10000</v>
      </c>
      <c r="Q31" s="9">
        <v>6000</v>
      </c>
      <c r="R31" s="9">
        <v>5000</v>
      </c>
      <c r="S31" s="9">
        <v>9000</v>
      </c>
      <c r="T31" s="104">
        <v>3000</v>
      </c>
      <c r="U31" s="9">
        <v>2000</v>
      </c>
      <c r="V31" s="13" t="s">
        <v>220</v>
      </c>
      <c r="W31" s="13" t="s">
        <v>220</v>
      </c>
      <c r="X31" s="13" t="s">
        <v>220</v>
      </c>
      <c r="Y31" s="13" t="s">
        <v>220</v>
      </c>
      <c r="AC31" s="263"/>
      <c r="AD31" s="263">
        <f t="shared" si="0"/>
        <v>0</v>
      </c>
      <c r="AE31" s="263">
        <f t="shared" si="1"/>
        <v>250025000</v>
      </c>
      <c r="AF31" s="263">
        <f t="shared" si="2"/>
        <v>645021500</v>
      </c>
      <c r="AG31" s="263">
        <f t="shared" si="3"/>
        <v>1025020500</v>
      </c>
      <c r="AH31" s="263">
        <f t="shared" si="4"/>
        <v>3150045000</v>
      </c>
      <c r="AI31" s="263"/>
      <c r="AJ31" s="263">
        <f t="shared" si="5"/>
        <v>0</v>
      </c>
      <c r="AK31" s="263">
        <f t="shared" si="6"/>
        <v>85008500</v>
      </c>
      <c r="AL31" s="263">
        <f t="shared" si="7"/>
        <v>210007000</v>
      </c>
      <c r="AM31" s="263">
        <f t="shared" si="8"/>
        <v>250005000</v>
      </c>
      <c r="AN31" s="263">
        <f t="shared" si="9"/>
        <v>805011500</v>
      </c>
      <c r="AO31" s="263"/>
      <c r="AP31" s="263">
        <f t="shared" si="10"/>
        <v>0</v>
      </c>
      <c r="AQ31" s="263">
        <f t="shared" si="11"/>
        <v>50005000</v>
      </c>
      <c r="AR31" s="263">
        <f t="shared" si="12"/>
        <v>90003000</v>
      </c>
      <c r="AS31" s="263">
        <f t="shared" si="13"/>
        <v>125002500</v>
      </c>
      <c r="AT31" s="263">
        <f t="shared" si="14"/>
        <v>315004500</v>
      </c>
      <c r="AU31" s="263"/>
      <c r="AV31" s="263"/>
    </row>
    <row r="32" spans="1:48" ht="12.45" customHeight="1">
      <c r="A32" s="12" t="s">
        <v>565</v>
      </c>
      <c r="B32" s="119">
        <v>556000</v>
      </c>
      <c r="C32" s="9">
        <v>309000</v>
      </c>
      <c r="D32" s="9">
        <v>52000</v>
      </c>
      <c r="E32" s="9">
        <v>56000</v>
      </c>
      <c r="F32" s="9">
        <v>49000</v>
      </c>
      <c r="G32" s="9">
        <v>91000</v>
      </c>
      <c r="H32" s="143">
        <v>283000</v>
      </c>
      <c r="I32" s="9">
        <v>154000</v>
      </c>
      <c r="J32" s="9">
        <v>20000</v>
      </c>
      <c r="K32" s="9">
        <v>24000</v>
      </c>
      <c r="L32" s="9">
        <v>17000</v>
      </c>
      <c r="M32" s="9">
        <v>25000</v>
      </c>
      <c r="N32" s="137">
        <v>149000</v>
      </c>
      <c r="O32" s="9">
        <v>84000</v>
      </c>
      <c r="P32" s="9">
        <v>15000</v>
      </c>
      <c r="Q32" s="9">
        <v>8000</v>
      </c>
      <c r="R32" s="9">
        <v>6000</v>
      </c>
      <c r="S32" s="9">
        <v>8000</v>
      </c>
      <c r="T32" s="104">
        <v>3000</v>
      </c>
      <c r="U32" s="13" t="s">
        <v>191</v>
      </c>
      <c r="V32" s="13" t="s">
        <v>220</v>
      </c>
      <c r="W32" s="13" t="s">
        <v>220</v>
      </c>
      <c r="X32" s="13" t="s">
        <v>220</v>
      </c>
      <c r="Y32" s="13" t="s">
        <v>220</v>
      </c>
      <c r="AC32" s="263"/>
      <c r="AD32" s="263">
        <f t="shared" si="0"/>
        <v>0</v>
      </c>
      <c r="AE32" s="263">
        <f t="shared" si="1"/>
        <v>260026000</v>
      </c>
      <c r="AF32" s="263">
        <f t="shared" si="2"/>
        <v>840028000</v>
      </c>
      <c r="AG32" s="263">
        <f t="shared" si="3"/>
        <v>1225024500</v>
      </c>
      <c r="AH32" s="263">
        <f t="shared" si="4"/>
        <v>3185045500</v>
      </c>
      <c r="AI32" s="263"/>
      <c r="AJ32" s="263">
        <f t="shared" si="5"/>
        <v>0</v>
      </c>
      <c r="AK32" s="263">
        <f t="shared" si="6"/>
        <v>100010000</v>
      </c>
      <c r="AL32" s="263">
        <f t="shared" si="7"/>
        <v>360012000</v>
      </c>
      <c r="AM32" s="263">
        <f t="shared" si="8"/>
        <v>425008500</v>
      </c>
      <c r="AN32" s="263">
        <f t="shared" si="9"/>
        <v>875012500</v>
      </c>
      <c r="AO32" s="263"/>
      <c r="AP32" s="263">
        <f t="shared" si="10"/>
        <v>0</v>
      </c>
      <c r="AQ32" s="263">
        <f t="shared" si="11"/>
        <v>75007500</v>
      </c>
      <c r="AR32" s="263">
        <f t="shared" si="12"/>
        <v>120004000</v>
      </c>
      <c r="AS32" s="263">
        <f t="shared" si="13"/>
        <v>150003000</v>
      </c>
      <c r="AT32" s="263">
        <f t="shared" si="14"/>
        <v>280004000</v>
      </c>
      <c r="AU32" s="263"/>
      <c r="AV32" s="263"/>
    </row>
    <row r="33" spans="1:48" ht="12.45" customHeight="1">
      <c r="A33" s="12" t="s">
        <v>566</v>
      </c>
      <c r="B33" s="119">
        <v>406000</v>
      </c>
      <c r="C33" s="9">
        <v>160000</v>
      </c>
      <c r="D33" s="9">
        <v>35000</v>
      </c>
      <c r="E33" s="9">
        <v>53000</v>
      </c>
      <c r="F33" s="9">
        <v>37000</v>
      </c>
      <c r="G33" s="9">
        <v>121000</v>
      </c>
      <c r="H33" s="143">
        <v>91000</v>
      </c>
      <c r="I33" s="9">
        <v>22000</v>
      </c>
      <c r="J33" s="9">
        <v>4000</v>
      </c>
      <c r="K33" s="9">
        <v>5000</v>
      </c>
      <c r="L33" s="9">
        <v>8000</v>
      </c>
      <c r="M33" s="9">
        <v>16000</v>
      </c>
      <c r="N33" s="137">
        <v>17000</v>
      </c>
      <c r="O33" s="9">
        <v>5000</v>
      </c>
      <c r="P33" s="9">
        <v>2000</v>
      </c>
      <c r="Q33" s="13" t="s">
        <v>191</v>
      </c>
      <c r="R33" s="13" t="s">
        <v>220</v>
      </c>
      <c r="S33" s="13" t="s">
        <v>220</v>
      </c>
      <c r="T33" s="152" t="s">
        <v>220</v>
      </c>
      <c r="U33" s="13" t="s">
        <v>220</v>
      </c>
      <c r="V33" s="13" t="s">
        <v>220</v>
      </c>
      <c r="W33" s="13" t="s">
        <v>220</v>
      </c>
      <c r="X33" s="13" t="s">
        <v>220</v>
      </c>
      <c r="Y33" s="13" t="s">
        <v>220</v>
      </c>
      <c r="AC33" s="263"/>
      <c r="AD33" s="263">
        <f t="shared" si="0"/>
        <v>0</v>
      </c>
      <c r="AE33" s="263">
        <f t="shared" si="1"/>
        <v>175017500</v>
      </c>
      <c r="AF33" s="263">
        <f t="shared" si="2"/>
        <v>795026500</v>
      </c>
      <c r="AG33" s="263">
        <f t="shared" si="3"/>
        <v>925018500</v>
      </c>
      <c r="AH33" s="263">
        <f t="shared" si="4"/>
        <v>4235060500</v>
      </c>
      <c r="AI33" s="263"/>
      <c r="AJ33" s="263">
        <f t="shared" si="5"/>
        <v>0</v>
      </c>
      <c r="AK33" s="263">
        <f t="shared" si="6"/>
        <v>20002000</v>
      </c>
      <c r="AL33" s="263">
        <f t="shared" si="7"/>
        <v>75002500</v>
      </c>
      <c r="AM33" s="263">
        <f t="shared" si="8"/>
        <v>200004000</v>
      </c>
      <c r="AN33" s="263">
        <f t="shared" si="9"/>
        <v>560008000</v>
      </c>
      <c r="AO33" s="263"/>
      <c r="AP33" s="263">
        <f t="shared" si="10"/>
        <v>0</v>
      </c>
      <c r="AQ33" s="263">
        <f t="shared" si="11"/>
        <v>10001000</v>
      </c>
      <c r="AR33" s="263" t="e">
        <f t="shared" si="12"/>
        <v>#VALUE!</v>
      </c>
      <c r="AS33" s="263" t="e">
        <f t="shared" si="13"/>
        <v>#VALUE!</v>
      </c>
      <c r="AT33" s="263" t="e">
        <f t="shared" si="14"/>
        <v>#VALUE!</v>
      </c>
      <c r="AU33" s="263"/>
      <c r="AV33" s="263"/>
    </row>
    <row r="34" spans="1:48" ht="12.45" customHeight="1">
      <c r="A34" s="10" t="s">
        <v>573</v>
      </c>
      <c r="B34" s="187"/>
      <c r="C34" s="53"/>
      <c r="D34" s="53"/>
      <c r="E34" s="53"/>
      <c r="F34" s="53"/>
      <c r="G34" s="53"/>
      <c r="H34" s="188"/>
      <c r="I34" s="53"/>
      <c r="J34" s="53"/>
      <c r="K34" s="53"/>
      <c r="L34" s="53"/>
      <c r="M34" s="53"/>
      <c r="N34" s="189"/>
      <c r="O34" s="53"/>
      <c r="P34" s="53"/>
      <c r="Q34" s="53"/>
      <c r="R34" s="53"/>
      <c r="S34" s="53"/>
      <c r="T34" s="190"/>
      <c r="U34" s="53"/>
      <c r="V34" s="53"/>
      <c r="W34" s="53"/>
      <c r="X34" s="53"/>
      <c r="Y34" s="53"/>
      <c r="AC34" s="263"/>
      <c r="AD34" s="263">
        <f t="shared" si="0"/>
        <v>0</v>
      </c>
      <c r="AE34" s="263">
        <f t="shared" si="1"/>
        <v>0</v>
      </c>
      <c r="AF34" s="263">
        <f t="shared" si="2"/>
        <v>0</v>
      </c>
      <c r="AG34" s="263">
        <f t="shared" si="3"/>
        <v>0</v>
      </c>
      <c r="AH34" s="263">
        <f t="shared" si="4"/>
        <v>0</v>
      </c>
      <c r="AI34" s="263"/>
      <c r="AJ34" s="263">
        <f t="shared" si="5"/>
        <v>0</v>
      </c>
      <c r="AK34" s="263">
        <f t="shared" si="6"/>
        <v>0</v>
      </c>
      <c r="AL34" s="263">
        <f t="shared" si="7"/>
        <v>0</v>
      </c>
      <c r="AM34" s="263">
        <f t="shared" si="8"/>
        <v>0</v>
      </c>
      <c r="AN34" s="263">
        <f t="shared" si="9"/>
        <v>0</v>
      </c>
      <c r="AO34" s="263"/>
      <c r="AP34" s="263">
        <f t="shared" si="10"/>
        <v>0</v>
      </c>
      <c r="AQ34" s="263">
        <f t="shared" si="11"/>
        <v>0</v>
      </c>
      <c r="AR34" s="263">
        <f t="shared" si="12"/>
        <v>0</v>
      </c>
      <c r="AS34" s="263">
        <f t="shared" si="13"/>
        <v>0</v>
      </c>
      <c r="AT34" s="263">
        <f t="shared" si="14"/>
        <v>0</v>
      </c>
      <c r="AU34" s="263"/>
      <c r="AV34" s="263"/>
    </row>
    <row r="35" spans="1:48" ht="12.45" customHeight="1">
      <c r="A35" s="12" t="s">
        <v>568</v>
      </c>
      <c r="B35" s="119">
        <v>1817000</v>
      </c>
      <c r="C35" s="9">
        <v>830000</v>
      </c>
      <c r="D35" s="9">
        <v>287000</v>
      </c>
      <c r="E35" s="9">
        <v>232000</v>
      </c>
      <c r="F35" s="9">
        <v>164000</v>
      </c>
      <c r="G35" s="9">
        <v>305000</v>
      </c>
      <c r="H35" s="143">
        <v>630000</v>
      </c>
      <c r="I35" s="9">
        <v>242000</v>
      </c>
      <c r="J35" s="9">
        <v>71000</v>
      </c>
      <c r="K35" s="9">
        <v>42000</v>
      </c>
      <c r="L35" s="9">
        <v>34000</v>
      </c>
      <c r="M35" s="9">
        <v>61000</v>
      </c>
      <c r="N35" s="137">
        <v>227000</v>
      </c>
      <c r="O35" s="9">
        <v>113000</v>
      </c>
      <c r="P35" s="9">
        <v>26000</v>
      </c>
      <c r="Q35" s="9">
        <v>6000</v>
      </c>
      <c r="R35" s="9">
        <v>5000</v>
      </c>
      <c r="S35" s="9">
        <v>8000</v>
      </c>
      <c r="T35" s="104">
        <v>14000</v>
      </c>
      <c r="U35" s="9">
        <v>2000</v>
      </c>
      <c r="V35" s="13" t="s">
        <v>191</v>
      </c>
      <c r="W35" s="13" t="s">
        <v>220</v>
      </c>
      <c r="X35" s="13" t="s">
        <v>220</v>
      </c>
      <c r="Y35" s="13" t="s">
        <v>191</v>
      </c>
      <c r="AC35" s="263"/>
      <c r="AD35" s="263">
        <f t="shared" si="0"/>
        <v>0</v>
      </c>
      <c r="AE35" s="263">
        <f t="shared" si="1"/>
        <v>1435143500</v>
      </c>
      <c r="AF35" s="263">
        <f t="shared" si="2"/>
        <v>3480116000</v>
      </c>
      <c r="AG35" s="263">
        <f t="shared" si="3"/>
        <v>4100082000</v>
      </c>
      <c r="AH35" s="263">
        <f t="shared" si="4"/>
        <v>10675152500</v>
      </c>
      <c r="AI35" s="263"/>
      <c r="AJ35" s="263">
        <f t="shared" si="5"/>
        <v>0</v>
      </c>
      <c r="AK35" s="263">
        <f t="shared" si="6"/>
        <v>355035500</v>
      </c>
      <c r="AL35" s="263">
        <f t="shared" si="7"/>
        <v>630021000</v>
      </c>
      <c r="AM35" s="263">
        <f t="shared" si="8"/>
        <v>850017000</v>
      </c>
      <c r="AN35" s="263">
        <f t="shared" si="9"/>
        <v>2135030500</v>
      </c>
      <c r="AO35" s="263"/>
      <c r="AP35" s="263">
        <f t="shared" si="10"/>
        <v>0</v>
      </c>
      <c r="AQ35" s="263">
        <f t="shared" si="11"/>
        <v>130013000</v>
      </c>
      <c r="AR35" s="263">
        <f t="shared" si="12"/>
        <v>90003000</v>
      </c>
      <c r="AS35" s="263">
        <f t="shared" si="13"/>
        <v>125002500</v>
      </c>
      <c r="AT35" s="263">
        <f t="shared" si="14"/>
        <v>280004000</v>
      </c>
      <c r="AU35" s="263"/>
      <c r="AV35" s="263"/>
    </row>
    <row r="36" spans="1:48" ht="12.45" customHeight="1">
      <c r="A36" s="12" t="s">
        <v>569</v>
      </c>
      <c r="B36" s="119">
        <v>4069000</v>
      </c>
      <c r="C36" s="9">
        <v>1692000</v>
      </c>
      <c r="D36" s="9">
        <v>694000</v>
      </c>
      <c r="E36" s="9">
        <v>523000</v>
      </c>
      <c r="F36" s="9">
        <v>383000</v>
      </c>
      <c r="G36" s="9">
        <v>777000</v>
      </c>
      <c r="H36" s="143">
        <v>1151000</v>
      </c>
      <c r="I36" s="9">
        <v>456000</v>
      </c>
      <c r="J36" s="9">
        <v>148000</v>
      </c>
      <c r="K36" s="9">
        <v>96000</v>
      </c>
      <c r="L36" s="9">
        <v>67000</v>
      </c>
      <c r="M36" s="9">
        <v>149000</v>
      </c>
      <c r="N36" s="137">
        <v>355000</v>
      </c>
      <c r="O36" s="9">
        <v>160000</v>
      </c>
      <c r="P36" s="9">
        <v>47000</v>
      </c>
      <c r="Q36" s="9">
        <v>23000</v>
      </c>
      <c r="R36" s="9">
        <v>12000</v>
      </c>
      <c r="S36" s="9">
        <v>27000</v>
      </c>
      <c r="T36" s="104">
        <v>14000</v>
      </c>
      <c r="U36" s="9">
        <v>6000</v>
      </c>
      <c r="V36" s="9">
        <v>1000</v>
      </c>
      <c r="W36" s="13" t="s">
        <v>220</v>
      </c>
      <c r="X36" s="13" t="s">
        <v>220</v>
      </c>
      <c r="Y36" s="9">
        <v>2000</v>
      </c>
      <c r="AC36" s="263"/>
      <c r="AD36" s="263">
        <f t="shared" si="0"/>
        <v>0</v>
      </c>
      <c r="AE36" s="263">
        <f t="shared" si="1"/>
        <v>3470347000</v>
      </c>
      <c r="AF36" s="263">
        <f t="shared" si="2"/>
        <v>7845261500</v>
      </c>
      <c r="AG36" s="263">
        <f t="shared" si="3"/>
        <v>9575191500</v>
      </c>
      <c r="AH36" s="263">
        <f t="shared" si="4"/>
        <v>27195388500</v>
      </c>
      <c r="AI36" s="263"/>
      <c r="AJ36" s="263">
        <f t="shared" si="5"/>
        <v>0</v>
      </c>
      <c r="AK36" s="263">
        <f t="shared" si="6"/>
        <v>740074000</v>
      </c>
      <c r="AL36" s="263">
        <f t="shared" si="7"/>
        <v>1440048000</v>
      </c>
      <c r="AM36" s="263">
        <f t="shared" si="8"/>
        <v>1675033500</v>
      </c>
      <c r="AN36" s="263">
        <f t="shared" si="9"/>
        <v>5215074500</v>
      </c>
      <c r="AO36" s="263"/>
      <c r="AP36" s="263">
        <f t="shared" si="10"/>
        <v>0</v>
      </c>
      <c r="AQ36" s="263">
        <f t="shared" si="11"/>
        <v>235023500</v>
      </c>
      <c r="AR36" s="263">
        <f t="shared" si="12"/>
        <v>345011500</v>
      </c>
      <c r="AS36" s="263">
        <f t="shared" si="13"/>
        <v>300006000</v>
      </c>
      <c r="AT36" s="263">
        <f t="shared" si="14"/>
        <v>945013500</v>
      </c>
      <c r="AU36" s="263"/>
      <c r="AV36" s="263"/>
    </row>
    <row r="37" spans="1:48" ht="12.45" customHeight="1">
      <c r="A37" s="81" t="s">
        <v>570</v>
      </c>
      <c r="B37" s="119">
        <v>3385000</v>
      </c>
      <c r="C37" s="9">
        <v>1255000</v>
      </c>
      <c r="D37" s="9">
        <v>405000</v>
      </c>
      <c r="E37" s="9">
        <v>408000</v>
      </c>
      <c r="F37" s="9">
        <v>408000</v>
      </c>
      <c r="G37" s="9">
        <v>909000</v>
      </c>
      <c r="H37" s="143">
        <v>909000</v>
      </c>
      <c r="I37" s="9">
        <v>312000</v>
      </c>
      <c r="J37" s="9">
        <v>111000</v>
      </c>
      <c r="K37" s="9">
        <v>99000</v>
      </c>
      <c r="L37" s="9">
        <v>82000</v>
      </c>
      <c r="M37" s="9">
        <v>158000</v>
      </c>
      <c r="N37" s="137">
        <v>280000</v>
      </c>
      <c r="O37" s="9">
        <v>141000</v>
      </c>
      <c r="P37" s="9">
        <v>31000</v>
      </c>
      <c r="Q37" s="9">
        <v>19000</v>
      </c>
      <c r="R37" s="9">
        <v>19000</v>
      </c>
      <c r="S37" s="9">
        <v>26000</v>
      </c>
      <c r="T37" s="104">
        <v>14000</v>
      </c>
      <c r="U37" s="9">
        <v>7000</v>
      </c>
      <c r="V37" s="13" t="s">
        <v>220</v>
      </c>
      <c r="W37" s="13" t="s">
        <v>220</v>
      </c>
      <c r="X37" s="13" t="s">
        <v>220</v>
      </c>
      <c r="Y37" s="13" t="s">
        <v>191</v>
      </c>
      <c r="AC37" s="263"/>
      <c r="AD37" s="263">
        <f t="shared" si="0"/>
        <v>0</v>
      </c>
      <c r="AE37" s="263">
        <f t="shared" si="1"/>
        <v>2025202500</v>
      </c>
      <c r="AF37" s="263">
        <f t="shared" si="2"/>
        <v>6120204000</v>
      </c>
      <c r="AG37" s="263">
        <f t="shared" si="3"/>
        <v>10200204000</v>
      </c>
      <c r="AH37" s="263">
        <f t="shared" si="4"/>
        <v>31815454500</v>
      </c>
      <c r="AI37" s="263"/>
      <c r="AJ37" s="263">
        <f t="shared" si="5"/>
        <v>0</v>
      </c>
      <c r="AK37" s="263">
        <f t="shared" si="6"/>
        <v>555055500</v>
      </c>
      <c r="AL37" s="263">
        <f t="shared" si="7"/>
        <v>1485049500</v>
      </c>
      <c r="AM37" s="263">
        <f t="shared" si="8"/>
        <v>2050041000</v>
      </c>
      <c r="AN37" s="263">
        <f t="shared" si="9"/>
        <v>5530079000</v>
      </c>
      <c r="AO37" s="263"/>
      <c r="AP37" s="263">
        <f t="shared" si="10"/>
        <v>0</v>
      </c>
      <c r="AQ37" s="263">
        <f t="shared" si="11"/>
        <v>155015500</v>
      </c>
      <c r="AR37" s="263">
        <f t="shared" si="12"/>
        <v>285009500</v>
      </c>
      <c r="AS37" s="263">
        <f t="shared" si="13"/>
        <v>475009500</v>
      </c>
      <c r="AT37" s="263">
        <f t="shared" si="14"/>
        <v>910013000</v>
      </c>
      <c r="AU37" s="263"/>
      <c r="AV37" s="263"/>
    </row>
    <row r="38" spans="1:48" ht="12.45" customHeight="1">
      <c r="A38" s="12" t="s">
        <v>571</v>
      </c>
      <c r="B38" s="119">
        <v>3472000</v>
      </c>
      <c r="C38" s="9">
        <v>1671000</v>
      </c>
      <c r="D38" s="9">
        <v>356000</v>
      </c>
      <c r="E38" s="9">
        <v>417000</v>
      </c>
      <c r="F38" s="9">
        <v>326000</v>
      </c>
      <c r="G38" s="9">
        <v>701000</v>
      </c>
      <c r="H38" s="143">
        <v>1100000</v>
      </c>
      <c r="I38" s="9">
        <v>505000</v>
      </c>
      <c r="J38" s="9">
        <v>111000</v>
      </c>
      <c r="K38" s="9">
        <v>86000</v>
      </c>
      <c r="L38" s="9">
        <v>57000</v>
      </c>
      <c r="M38" s="9">
        <v>137000</v>
      </c>
      <c r="N38" s="137">
        <v>371000</v>
      </c>
      <c r="O38" s="9">
        <v>201000</v>
      </c>
      <c r="P38" s="9">
        <v>37000</v>
      </c>
      <c r="Q38" s="9">
        <v>17000</v>
      </c>
      <c r="R38" s="9">
        <v>16000</v>
      </c>
      <c r="S38" s="9">
        <v>28000</v>
      </c>
      <c r="T38" s="104">
        <v>11000</v>
      </c>
      <c r="U38" s="9">
        <v>7000</v>
      </c>
      <c r="V38" s="13" t="s">
        <v>220</v>
      </c>
      <c r="W38" s="13" t="s">
        <v>220</v>
      </c>
      <c r="X38" s="13" t="s">
        <v>220</v>
      </c>
      <c r="Y38" s="13" t="s">
        <v>191</v>
      </c>
      <c r="AC38" s="263"/>
      <c r="AD38" s="263">
        <f t="shared" si="0"/>
        <v>0</v>
      </c>
      <c r="AE38" s="263">
        <f t="shared" si="1"/>
        <v>1780178000</v>
      </c>
      <c r="AF38" s="263">
        <f t="shared" si="2"/>
        <v>6255208500</v>
      </c>
      <c r="AG38" s="263">
        <f t="shared" si="3"/>
        <v>8150163000</v>
      </c>
      <c r="AH38" s="263">
        <f t="shared" si="4"/>
        <v>24535350500</v>
      </c>
      <c r="AI38" s="263"/>
      <c r="AJ38" s="263">
        <f t="shared" si="5"/>
        <v>0</v>
      </c>
      <c r="AK38" s="263">
        <f t="shared" si="6"/>
        <v>555055500</v>
      </c>
      <c r="AL38" s="263">
        <f t="shared" si="7"/>
        <v>1290043000</v>
      </c>
      <c r="AM38" s="263">
        <f t="shared" si="8"/>
        <v>1425028500</v>
      </c>
      <c r="AN38" s="263">
        <f t="shared" si="9"/>
        <v>4795068500</v>
      </c>
      <c r="AO38" s="263"/>
      <c r="AP38" s="263">
        <f t="shared" si="10"/>
        <v>0</v>
      </c>
      <c r="AQ38" s="263">
        <f t="shared" si="11"/>
        <v>185018500</v>
      </c>
      <c r="AR38" s="263">
        <f t="shared" si="12"/>
        <v>255008500</v>
      </c>
      <c r="AS38" s="263">
        <f t="shared" si="13"/>
        <v>400008000</v>
      </c>
      <c r="AT38" s="263">
        <f t="shared" si="14"/>
        <v>980014000</v>
      </c>
      <c r="AU38" s="263"/>
      <c r="AV38" s="263"/>
    </row>
    <row r="39" spans="1:48" ht="12.45" customHeight="1">
      <c r="A39" s="12" t="s">
        <v>572</v>
      </c>
      <c r="B39" s="119">
        <v>1569000</v>
      </c>
      <c r="C39" s="9">
        <v>744000</v>
      </c>
      <c r="D39" s="9">
        <v>142000</v>
      </c>
      <c r="E39" s="9">
        <v>168000</v>
      </c>
      <c r="F39" s="9">
        <v>163000</v>
      </c>
      <c r="G39" s="9">
        <v>352000</v>
      </c>
      <c r="H39" s="143">
        <v>661000</v>
      </c>
      <c r="I39" s="9">
        <v>279000</v>
      </c>
      <c r="J39" s="9">
        <v>54000</v>
      </c>
      <c r="K39" s="9">
        <v>60000</v>
      </c>
      <c r="L39" s="9">
        <v>44000</v>
      </c>
      <c r="M39" s="9">
        <v>89000</v>
      </c>
      <c r="N39" s="137">
        <v>230000</v>
      </c>
      <c r="O39" s="9">
        <v>117000</v>
      </c>
      <c r="P39" s="9">
        <v>33000</v>
      </c>
      <c r="Q39" s="9">
        <v>15000</v>
      </c>
      <c r="R39" s="9">
        <v>12000</v>
      </c>
      <c r="S39" s="9">
        <v>14000</v>
      </c>
      <c r="T39" s="104">
        <v>4000</v>
      </c>
      <c r="U39" s="9">
        <v>2000</v>
      </c>
      <c r="V39" s="13" t="s">
        <v>220</v>
      </c>
      <c r="W39" s="13" t="s">
        <v>220</v>
      </c>
      <c r="X39" s="13" t="s">
        <v>220</v>
      </c>
      <c r="Y39" s="9">
        <v>1000</v>
      </c>
      <c r="AC39" s="263"/>
      <c r="AD39" s="263">
        <f t="shared" si="0"/>
        <v>0</v>
      </c>
      <c r="AE39" s="263">
        <f t="shared" si="1"/>
        <v>710071000</v>
      </c>
      <c r="AF39" s="263">
        <f t="shared" si="2"/>
        <v>2520084000</v>
      </c>
      <c r="AG39" s="263">
        <f t="shared" si="3"/>
        <v>4075081500</v>
      </c>
      <c r="AH39" s="263">
        <f t="shared" si="4"/>
        <v>12320176000</v>
      </c>
      <c r="AI39" s="263"/>
      <c r="AJ39" s="263">
        <f t="shared" si="5"/>
        <v>0</v>
      </c>
      <c r="AK39" s="263">
        <f t="shared" si="6"/>
        <v>270027000</v>
      </c>
      <c r="AL39" s="263">
        <f t="shared" si="7"/>
        <v>900030000</v>
      </c>
      <c r="AM39" s="263">
        <f t="shared" si="8"/>
        <v>1100022000</v>
      </c>
      <c r="AN39" s="263">
        <f t="shared" si="9"/>
        <v>3115044500</v>
      </c>
      <c r="AO39" s="263"/>
      <c r="AP39" s="263">
        <f t="shared" si="10"/>
        <v>0</v>
      </c>
      <c r="AQ39" s="263">
        <f t="shared" si="11"/>
        <v>165016500</v>
      </c>
      <c r="AR39" s="263">
        <f t="shared" si="12"/>
        <v>225007500</v>
      </c>
      <c r="AS39" s="263">
        <f t="shared" si="13"/>
        <v>300006000</v>
      </c>
      <c r="AT39" s="263">
        <f t="shared" si="14"/>
        <v>490007000</v>
      </c>
      <c r="AU39" s="263"/>
      <c r="AV39" s="263"/>
    </row>
    <row r="40" spans="1:48">
      <c r="A40" s="18" t="s">
        <v>564</v>
      </c>
      <c r="B40" s="169">
        <v>240000</v>
      </c>
      <c r="C40" s="7">
        <v>153000</v>
      </c>
      <c r="D40" s="7">
        <v>12000</v>
      </c>
      <c r="E40" s="7">
        <v>15000</v>
      </c>
      <c r="F40" s="7">
        <v>15000</v>
      </c>
      <c r="G40" s="7">
        <v>44000</v>
      </c>
      <c r="H40" s="172">
        <v>93000</v>
      </c>
      <c r="I40" s="7">
        <v>53000</v>
      </c>
      <c r="J40" s="7">
        <v>3000</v>
      </c>
      <c r="K40" s="7">
        <v>7000</v>
      </c>
      <c r="L40" s="7">
        <v>5000</v>
      </c>
      <c r="M40" s="7">
        <v>11000</v>
      </c>
      <c r="N40" s="175">
        <v>53000</v>
      </c>
      <c r="O40" s="7">
        <v>31000</v>
      </c>
      <c r="P40" s="7">
        <v>2000</v>
      </c>
      <c r="Q40" s="7">
        <v>3000</v>
      </c>
      <c r="R40" s="7">
        <v>2000</v>
      </c>
      <c r="S40" s="7">
        <v>3000</v>
      </c>
      <c r="T40" s="191" t="s">
        <v>191</v>
      </c>
      <c r="U40" s="19" t="s">
        <v>220</v>
      </c>
      <c r="V40" s="19" t="s">
        <v>220</v>
      </c>
      <c r="W40" s="19" t="s">
        <v>220</v>
      </c>
      <c r="X40" s="19" t="s">
        <v>220</v>
      </c>
      <c r="Y40" s="19" t="s">
        <v>220</v>
      </c>
      <c r="AC40" s="263"/>
      <c r="AD40" s="263">
        <f t="shared" si="0"/>
        <v>0</v>
      </c>
      <c r="AE40" s="263">
        <f t="shared" si="1"/>
        <v>60006000</v>
      </c>
      <c r="AF40" s="263">
        <f t="shared" si="2"/>
        <v>225007500</v>
      </c>
      <c r="AG40" s="263">
        <f t="shared" si="3"/>
        <v>375007500</v>
      </c>
      <c r="AH40" s="263">
        <f t="shared" si="4"/>
        <v>1540022000</v>
      </c>
      <c r="AI40" s="263"/>
      <c r="AJ40" s="263">
        <f t="shared" si="5"/>
        <v>0</v>
      </c>
      <c r="AK40" s="263">
        <f t="shared" si="6"/>
        <v>15001500</v>
      </c>
      <c r="AL40" s="263">
        <f t="shared" si="7"/>
        <v>105003500</v>
      </c>
      <c r="AM40" s="263">
        <f t="shared" si="8"/>
        <v>125002500</v>
      </c>
      <c r="AN40" s="263">
        <f t="shared" si="9"/>
        <v>385005500</v>
      </c>
      <c r="AO40" s="263"/>
      <c r="AP40" s="263">
        <f t="shared" si="10"/>
        <v>0</v>
      </c>
      <c r="AQ40" s="263">
        <f t="shared" si="11"/>
        <v>10001000</v>
      </c>
      <c r="AR40" s="263">
        <f t="shared" si="12"/>
        <v>45001500</v>
      </c>
      <c r="AS40" s="263">
        <f t="shared" si="13"/>
        <v>50001000</v>
      </c>
      <c r="AT40" s="263">
        <f t="shared" si="14"/>
        <v>105001500</v>
      </c>
      <c r="AU40" s="263"/>
      <c r="AV40" s="263"/>
    </row>
    <row r="41" spans="1:48">
      <c r="A41" s="12" t="s">
        <v>565</v>
      </c>
      <c r="B41" s="119">
        <v>202000</v>
      </c>
      <c r="C41" s="9">
        <v>105000</v>
      </c>
      <c r="D41" s="9">
        <v>12000</v>
      </c>
      <c r="E41" s="9">
        <v>24000</v>
      </c>
      <c r="F41" s="9">
        <v>13000</v>
      </c>
      <c r="G41" s="9">
        <v>47000</v>
      </c>
      <c r="H41" s="143">
        <v>85000</v>
      </c>
      <c r="I41" s="9">
        <v>42000</v>
      </c>
      <c r="J41" s="9">
        <v>5000</v>
      </c>
      <c r="K41" s="9">
        <v>8000</v>
      </c>
      <c r="L41" s="9">
        <v>6000</v>
      </c>
      <c r="M41" s="9">
        <v>7000</v>
      </c>
      <c r="N41" s="137">
        <v>51000</v>
      </c>
      <c r="O41" s="9">
        <v>32000</v>
      </c>
      <c r="P41" s="13" t="s">
        <v>191</v>
      </c>
      <c r="Q41" s="9">
        <v>2000</v>
      </c>
      <c r="R41" s="9">
        <v>1000</v>
      </c>
      <c r="S41" s="9">
        <v>2000</v>
      </c>
      <c r="T41" s="152" t="s">
        <v>220</v>
      </c>
      <c r="U41" s="13" t="s">
        <v>220</v>
      </c>
      <c r="V41" s="13" t="s">
        <v>220</v>
      </c>
      <c r="W41" s="13" t="s">
        <v>220</v>
      </c>
      <c r="X41" s="13" t="s">
        <v>220</v>
      </c>
      <c r="Y41" s="13" t="s">
        <v>220</v>
      </c>
      <c r="AC41" s="263"/>
      <c r="AD41" s="263">
        <f t="shared" si="0"/>
        <v>0</v>
      </c>
      <c r="AE41" s="263">
        <f t="shared" si="1"/>
        <v>60006000</v>
      </c>
      <c r="AF41" s="263">
        <f t="shared" si="2"/>
        <v>360012000</v>
      </c>
      <c r="AG41" s="263">
        <f t="shared" si="3"/>
        <v>325006500</v>
      </c>
      <c r="AH41" s="263">
        <f t="shared" si="4"/>
        <v>1645023500</v>
      </c>
      <c r="AI41" s="263"/>
      <c r="AJ41" s="263">
        <f t="shared" si="5"/>
        <v>0</v>
      </c>
      <c r="AK41" s="263">
        <f t="shared" si="6"/>
        <v>25002500</v>
      </c>
      <c r="AL41" s="263">
        <f t="shared" si="7"/>
        <v>120004000</v>
      </c>
      <c r="AM41" s="263">
        <f t="shared" si="8"/>
        <v>150003000</v>
      </c>
      <c r="AN41" s="263">
        <f t="shared" si="9"/>
        <v>245003500</v>
      </c>
      <c r="AO41" s="263"/>
      <c r="AP41" s="263">
        <f t="shared" si="10"/>
        <v>0</v>
      </c>
      <c r="AQ41" s="263" t="e">
        <f t="shared" si="11"/>
        <v>#VALUE!</v>
      </c>
      <c r="AR41" s="263">
        <f t="shared" si="12"/>
        <v>30001000</v>
      </c>
      <c r="AS41" s="263">
        <f t="shared" si="13"/>
        <v>25000500</v>
      </c>
      <c r="AT41" s="263">
        <f t="shared" si="14"/>
        <v>70001000</v>
      </c>
      <c r="AU41" s="263"/>
      <c r="AV41" s="263"/>
    </row>
    <row r="42" spans="1:48">
      <c r="A42" s="12" t="s">
        <v>566</v>
      </c>
      <c r="B42" s="119">
        <v>260000</v>
      </c>
      <c r="C42" s="9">
        <v>130000</v>
      </c>
      <c r="D42" s="9">
        <v>29000</v>
      </c>
      <c r="E42" s="9">
        <v>27000</v>
      </c>
      <c r="F42" s="9">
        <v>19000</v>
      </c>
      <c r="G42" s="9">
        <v>56000</v>
      </c>
      <c r="H42" s="143">
        <v>74000</v>
      </c>
      <c r="I42" s="9">
        <v>23000</v>
      </c>
      <c r="J42" s="13" t="s">
        <v>191</v>
      </c>
      <c r="K42" s="9">
        <v>5000</v>
      </c>
      <c r="L42" s="13" t="s">
        <v>191</v>
      </c>
      <c r="M42" s="9">
        <v>7000</v>
      </c>
      <c r="N42" s="137">
        <v>15000</v>
      </c>
      <c r="O42" s="9">
        <v>6000</v>
      </c>
      <c r="P42" s="9">
        <v>1000</v>
      </c>
      <c r="Q42" s="13" t="s">
        <v>191</v>
      </c>
      <c r="R42" s="13" t="s">
        <v>220</v>
      </c>
      <c r="S42" s="13" t="s">
        <v>220</v>
      </c>
      <c r="T42" s="152" t="s">
        <v>220</v>
      </c>
      <c r="U42" s="13" t="s">
        <v>220</v>
      </c>
      <c r="V42" s="13" t="s">
        <v>220</v>
      </c>
      <c r="W42" s="13" t="s">
        <v>220</v>
      </c>
      <c r="X42" s="13" t="s">
        <v>220</v>
      </c>
      <c r="Y42" s="13" t="s">
        <v>220</v>
      </c>
      <c r="AC42" s="263"/>
      <c r="AD42" s="263">
        <f t="shared" si="0"/>
        <v>0</v>
      </c>
      <c r="AE42" s="263">
        <f t="shared" si="1"/>
        <v>145014500</v>
      </c>
      <c r="AF42" s="263">
        <f t="shared" si="2"/>
        <v>405013500</v>
      </c>
      <c r="AG42" s="263">
        <f t="shared" si="3"/>
        <v>475009500</v>
      </c>
      <c r="AH42" s="263">
        <f t="shared" si="4"/>
        <v>1960028000</v>
      </c>
      <c r="AI42" s="263"/>
      <c r="AJ42" s="263">
        <f t="shared" si="5"/>
        <v>0</v>
      </c>
      <c r="AK42" s="263" t="e">
        <f t="shared" si="6"/>
        <v>#VALUE!</v>
      </c>
      <c r="AL42" s="263">
        <f t="shared" si="7"/>
        <v>75002500</v>
      </c>
      <c r="AM42" s="263" t="e">
        <f t="shared" si="8"/>
        <v>#VALUE!</v>
      </c>
      <c r="AN42" s="263">
        <f t="shared" si="9"/>
        <v>245003500</v>
      </c>
      <c r="AO42" s="263"/>
      <c r="AP42" s="263">
        <f t="shared" si="10"/>
        <v>0</v>
      </c>
      <c r="AQ42" s="263">
        <f t="shared" si="11"/>
        <v>5000500</v>
      </c>
      <c r="AR42" s="263" t="e">
        <f t="shared" si="12"/>
        <v>#VALUE!</v>
      </c>
      <c r="AS42" s="263" t="e">
        <f t="shared" si="13"/>
        <v>#VALUE!</v>
      </c>
      <c r="AT42" s="263" t="e">
        <f t="shared" si="14"/>
        <v>#VALUE!</v>
      </c>
      <c r="AU42" s="263"/>
      <c r="AV42" s="263"/>
    </row>
    <row r="43" spans="1:48">
      <c r="A43" s="8" t="s">
        <v>206</v>
      </c>
      <c r="B43" s="119">
        <v>5017000</v>
      </c>
      <c r="C43" s="9">
        <v>2060000</v>
      </c>
      <c r="D43" s="9">
        <v>647000</v>
      </c>
      <c r="E43" s="9">
        <v>550000</v>
      </c>
      <c r="F43" s="9">
        <v>514000</v>
      </c>
      <c r="G43" s="9">
        <v>1246000</v>
      </c>
      <c r="H43" s="143">
        <v>2644000</v>
      </c>
      <c r="I43" s="9">
        <v>910000</v>
      </c>
      <c r="J43" s="9">
        <v>288000</v>
      </c>
      <c r="K43" s="9">
        <v>230000</v>
      </c>
      <c r="L43" s="9">
        <v>208000</v>
      </c>
      <c r="M43" s="9">
        <v>508000</v>
      </c>
      <c r="N43" s="137">
        <v>355000</v>
      </c>
      <c r="O43" s="9">
        <v>122000</v>
      </c>
      <c r="P43" s="9">
        <v>44000</v>
      </c>
      <c r="Q43" s="9">
        <v>18000</v>
      </c>
      <c r="R43" s="9">
        <v>26000</v>
      </c>
      <c r="S43" s="9">
        <v>53000</v>
      </c>
      <c r="T43" s="104">
        <v>1825000</v>
      </c>
      <c r="U43" s="9">
        <v>669000</v>
      </c>
      <c r="V43" s="9">
        <v>150000</v>
      </c>
      <c r="W43" s="9">
        <v>109000</v>
      </c>
      <c r="X43" s="9">
        <v>77000</v>
      </c>
      <c r="Y43" s="9">
        <v>287000</v>
      </c>
      <c r="AC43" s="263"/>
      <c r="AD43" s="263">
        <f t="shared" si="0"/>
        <v>0</v>
      </c>
      <c r="AE43" s="263">
        <f t="shared" si="1"/>
        <v>3235323500</v>
      </c>
      <c r="AF43" s="263">
        <f t="shared" si="2"/>
        <v>8250275000</v>
      </c>
      <c r="AG43" s="263">
        <f t="shared" si="3"/>
        <v>12850257000</v>
      </c>
      <c r="AH43" s="263">
        <f t="shared" si="4"/>
        <v>43610623000</v>
      </c>
      <c r="AI43" s="263"/>
      <c r="AJ43" s="263">
        <f t="shared" si="5"/>
        <v>0</v>
      </c>
      <c r="AK43" s="263">
        <f t="shared" si="6"/>
        <v>1440144000</v>
      </c>
      <c r="AL43" s="263">
        <f t="shared" si="7"/>
        <v>3450115000</v>
      </c>
      <c r="AM43" s="263">
        <f t="shared" si="8"/>
        <v>5200104000</v>
      </c>
      <c r="AN43" s="263">
        <f t="shared" si="9"/>
        <v>17780254000</v>
      </c>
      <c r="AO43" s="263"/>
      <c r="AP43" s="263">
        <f t="shared" si="10"/>
        <v>0</v>
      </c>
      <c r="AQ43" s="263">
        <f t="shared" si="11"/>
        <v>220022000</v>
      </c>
      <c r="AR43" s="263">
        <f t="shared" si="12"/>
        <v>270009000</v>
      </c>
      <c r="AS43" s="263">
        <f t="shared" si="13"/>
        <v>650013000</v>
      </c>
      <c r="AT43" s="263">
        <f t="shared" si="14"/>
        <v>1855026500</v>
      </c>
      <c r="AU43" s="263"/>
      <c r="AV43" s="263"/>
    </row>
    <row r="44" spans="1:48">
      <c r="A44" s="10" t="s">
        <v>567</v>
      </c>
      <c r="B44" s="187"/>
      <c r="C44" s="53"/>
      <c r="D44" s="53"/>
      <c r="E44" s="53"/>
      <c r="F44" s="53"/>
      <c r="G44" s="53"/>
      <c r="H44" s="188"/>
      <c r="I44" s="53"/>
      <c r="J44" s="53"/>
      <c r="K44" s="53"/>
      <c r="L44" s="53"/>
      <c r="M44" s="53"/>
      <c r="N44" s="189"/>
      <c r="O44" s="53"/>
      <c r="P44" s="53"/>
      <c r="Q44" s="53"/>
      <c r="R44" s="53"/>
      <c r="S44" s="53"/>
      <c r="T44" s="190"/>
      <c r="U44" s="53"/>
      <c r="V44" s="53"/>
      <c r="W44" s="53"/>
      <c r="X44" s="53"/>
      <c r="Y44" s="53"/>
      <c r="AC44" s="263"/>
      <c r="AD44" s="263">
        <f t="shared" si="0"/>
        <v>0</v>
      </c>
      <c r="AE44" s="263">
        <f t="shared" si="1"/>
        <v>0</v>
      </c>
      <c r="AF44" s="263">
        <f t="shared" si="2"/>
        <v>0</v>
      </c>
      <c r="AG44" s="263">
        <f t="shared" si="3"/>
        <v>0</v>
      </c>
      <c r="AH44" s="263">
        <f t="shared" si="4"/>
        <v>0</v>
      </c>
      <c r="AI44" s="263"/>
      <c r="AJ44" s="263">
        <f t="shared" si="5"/>
        <v>0</v>
      </c>
      <c r="AK44" s="263">
        <f t="shared" si="6"/>
        <v>0</v>
      </c>
      <c r="AL44" s="263">
        <f t="shared" si="7"/>
        <v>0</v>
      </c>
      <c r="AM44" s="263">
        <f t="shared" si="8"/>
        <v>0</v>
      </c>
      <c r="AN44" s="263">
        <f t="shared" si="9"/>
        <v>0</v>
      </c>
      <c r="AO44" s="263"/>
      <c r="AP44" s="263">
        <f t="shared" si="10"/>
        <v>0</v>
      </c>
      <c r="AQ44" s="263">
        <f t="shared" si="11"/>
        <v>0</v>
      </c>
      <c r="AR44" s="263">
        <f t="shared" si="12"/>
        <v>0</v>
      </c>
      <c r="AS44" s="263">
        <f t="shared" si="13"/>
        <v>0</v>
      </c>
      <c r="AT44" s="263">
        <f t="shared" si="14"/>
        <v>0</v>
      </c>
      <c r="AU44" s="263"/>
      <c r="AV44" s="263"/>
    </row>
    <row r="45" spans="1:48">
      <c r="A45" s="12" t="s">
        <v>568</v>
      </c>
      <c r="B45" s="119">
        <v>745000</v>
      </c>
      <c r="C45" s="9">
        <v>311000</v>
      </c>
      <c r="D45" s="9">
        <v>113000</v>
      </c>
      <c r="E45" s="9">
        <v>68000</v>
      </c>
      <c r="F45" s="9">
        <v>84000</v>
      </c>
      <c r="G45" s="9">
        <v>169000</v>
      </c>
      <c r="H45" s="143">
        <v>353000</v>
      </c>
      <c r="I45" s="9">
        <v>107000</v>
      </c>
      <c r="J45" s="9">
        <v>66000</v>
      </c>
      <c r="K45" s="9">
        <v>33000</v>
      </c>
      <c r="L45" s="9">
        <v>23000</v>
      </c>
      <c r="M45" s="9">
        <v>63000</v>
      </c>
      <c r="N45" s="137">
        <v>36000</v>
      </c>
      <c r="O45" s="9">
        <v>11000</v>
      </c>
      <c r="P45" s="9">
        <v>5000</v>
      </c>
      <c r="Q45" s="13" t="s">
        <v>191</v>
      </c>
      <c r="R45" s="13" t="s">
        <v>191</v>
      </c>
      <c r="S45" s="13" t="s">
        <v>191</v>
      </c>
      <c r="T45" s="104">
        <v>147000</v>
      </c>
      <c r="U45" s="9">
        <v>52000</v>
      </c>
      <c r="V45" s="9">
        <v>21000</v>
      </c>
      <c r="W45" s="9">
        <v>4000</v>
      </c>
      <c r="X45" s="13" t="s">
        <v>191</v>
      </c>
      <c r="Y45" s="9">
        <v>12000</v>
      </c>
      <c r="AC45" s="263"/>
      <c r="AD45" s="263">
        <f t="shared" si="0"/>
        <v>0</v>
      </c>
      <c r="AE45" s="263">
        <f t="shared" si="1"/>
        <v>565056500</v>
      </c>
      <c r="AF45" s="263">
        <f t="shared" si="2"/>
        <v>1020034000</v>
      </c>
      <c r="AG45" s="263">
        <f t="shared" si="3"/>
        <v>2100042000</v>
      </c>
      <c r="AH45" s="263">
        <f t="shared" si="4"/>
        <v>5915084500</v>
      </c>
      <c r="AI45" s="263"/>
      <c r="AJ45" s="263">
        <f t="shared" si="5"/>
        <v>0</v>
      </c>
      <c r="AK45" s="263">
        <f t="shared" si="6"/>
        <v>330033000</v>
      </c>
      <c r="AL45" s="263">
        <f t="shared" si="7"/>
        <v>495016500</v>
      </c>
      <c r="AM45" s="263">
        <f t="shared" si="8"/>
        <v>575011500</v>
      </c>
      <c r="AN45" s="263">
        <f t="shared" si="9"/>
        <v>2205031500</v>
      </c>
      <c r="AO45" s="263"/>
      <c r="AP45" s="263">
        <f t="shared" si="10"/>
        <v>0</v>
      </c>
      <c r="AQ45" s="263">
        <f t="shared" si="11"/>
        <v>25002500</v>
      </c>
      <c r="AR45" s="263" t="e">
        <f t="shared" si="12"/>
        <v>#VALUE!</v>
      </c>
      <c r="AS45" s="263" t="e">
        <f t="shared" si="13"/>
        <v>#VALUE!</v>
      </c>
      <c r="AT45" s="263" t="e">
        <f t="shared" si="14"/>
        <v>#VALUE!</v>
      </c>
      <c r="AU45" s="263"/>
      <c r="AV45" s="263"/>
    </row>
    <row r="46" spans="1:48">
      <c r="A46" s="12" t="s">
        <v>569</v>
      </c>
      <c r="B46" s="119">
        <v>1336000</v>
      </c>
      <c r="C46" s="9">
        <v>473000</v>
      </c>
      <c r="D46" s="9">
        <v>210000</v>
      </c>
      <c r="E46" s="9">
        <v>157000</v>
      </c>
      <c r="F46" s="9">
        <v>136000</v>
      </c>
      <c r="G46" s="9">
        <v>360000</v>
      </c>
      <c r="H46" s="143">
        <v>620000</v>
      </c>
      <c r="I46" s="9">
        <v>163000</v>
      </c>
      <c r="J46" s="9">
        <v>58000</v>
      </c>
      <c r="K46" s="9">
        <v>57000</v>
      </c>
      <c r="L46" s="9">
        <v>51000</v>
      </c>
      <c r="M46" s="9">
        <v>161000</v>
      </c>
      <c r="N46" s="137">
        <v>97000</v>
      </c>
      <c r="O46" s="9">
        <v>36000</v>
      </c>
      <c r="P46" s="9">
        <v>9000</v>
      </c>
      <c r="Q46" s="13" t="s">
        <v>191</v>
      </c>
      <c r="R46" s="13" t="s">
        <v>191</v>
      </c>
      <c r="S46" s="9">
        <v>18000</v>
      </c>
      <c r="T46" s="104">
        <v>294000</v>
      </c>
      <c r="U46" s="9">
        <v>57000</v>
      </c>
      <c r="V46" s="9">
        <v>30000</v>
      </c>
      <c r="W46" s="9">
        <v>27000</v>
      </c>
      <c r="X46" s="9">
        <v>18000</v>
      </c>
      <c r="Y46" s="9">
        <v>69000</v>
      </c>
      <c r="AC46" s="263"/>
      <c r="AD46" s="263">
        <f t="shared" si="0"/>
        <v>0</v>
      </c>
      <c r="AE46" s="263">
        <f t="shared" si="1"/>
        <v>1050105000</v>
      </c>
      <c r="AF46" s="263">
        <f t="shared" si="2"/>
        <v>2355078500</v>
      </c>
      <c r="AG46" s="263">
        <f t="shared" si="3"/>
        <v>3400068000</v>
      </c>
      <c r="AH46" s="263">
        <f t="shared" si="4"/>
        <v>12600180000</v>
      </c>
      <c r="AI46" s="263"/>
      <c r="AJ46" s="263">
        <f t="shared" si="5"/>
        <v>0</v>
      </c>
      <c r="AK46" s="263">
        <f t="shared" si="6"/>
        <v>290029000</v>
      </c>
      <c r="AL46" s="263">
        <f t="shared" si="7"/>
        <v>855028500</v>
      </c>
      <c r="AM46" s="263">
        <f t="shared" si="8"/>
        <v>1275025500</v>
      </c>
      <c r="AN46" s="263">
        <f t="shared" si="9"/>
        <v>5635080500</v>
      </c>
      <c r="AO46" s="263"/>
      <c r="AP46" s="263">
        <f t="shared" si="10"/>
        <v>0</v>
      </c>
      <c r="AQ46" s="263">
        <f t="shared" si="11"/>
        <v>45004500</v>
      </c>
      <c r="AR46" s="263" t="e">
        <f t="shared" si="12"/>
        <v>#VALUE!</v>
      </c>
      <c r="AS46" s="263" t="e">
        <f t="shared" si="13"/>
        <v>#VALUE!</v>
      </c>
      <c r="AT46" s="263">
        <f t="shared" si="14"/>
        <v>630009000</v>
      </c>
      <c r="AU46" s="263"/>
      <c r="AV46" s="263"/>
    </row>
    <row r="47" spans="1:48">
      <c r="A47" s="81" t="s">
        <v>570</v>
      </c>
      <c r="B47" s="119">
        <v>1017000</v>
      </c>
      <c r="C47" s="9">
        <v>352000</v>
      </c>
      <c r="D47" s="9">
        <v>137000</v>
      </c>
      <c r="E47" s="9">
        <v>117000</v>
      </c>
      <c r="F47" s="9">
        <v>115000</v>
      </c>
      <c r="G47" s="9">
        <v>296000</v>
      </c>
      <c r="H47" s="143">
        <v>483000</v>
      </c>
      <c r="I47" s="9">
        <v>150000</v>
      </c>
      <c r="J47" s="9">
        <v>67000</v>
      </c>
      <c r="K47" s="9">
        <v>37000</v>
      </c>
      <c r="L47" s="9">
        <v>53000</v>
      </c>
      <c r="M47" s="9">
        <v>88000</v>
      </c>
      <c r="N47" s="137">
        <v>52000</v>
      </c>
      <c r="O47" s="9">
        <v>9000</v>
      </c>
      <c r="P47" s="9">
        <v>7000</v>
      </c>
      <c r="Q47" s="9">
        <v>2000</v>
      </c>
      <c r="R47" s="13" t="s">
        <v>191</v>
      </c>
      <c r="S47" s="9">
        <v>9000</v>
      </c>
      <c r="T47" s="104">
        <v>225000</v>
      </c>
      <c r="U47" s="9">
        <v>59000</v>
      </c>
      <c r="V47" s="9">
        <v>32000</v>
      </c>
      <c r="W47" s="9">
        <v>27000</v>
      </c>
      <c r="X47" s="13" t="s">
        <v>191</v>
      </c>
      <c r="Y47" s="9">
        <v>42000</v>
      </c>
      <c r="AC47" s="263"/>
      <c r="AD47" s="263">
        <f t="shared" si="0"/>
        <v>0</v>
      </c>
      <c r="AE47" s="263">
        <f t="shared" si="1"/>
        <v>685068500</v>
      </c>
      <c r="AF47" s="263">
        <f t="shared" si="2"/>
        <v>1755058500</v>
      </c>
      <c r="AG47" s="263">
        <f t="shared" si="3"/>
        <v>2875057500</v>
      </c>
      <c r="AH47" s="263">
        <f t="shared" si="4"/>
        <v>10360148000</v>
      </c>
      <c r="AI47" s="263"/>
      <c r="AJ47" s="263">
        <f t="shared" si="5"/>
        <v>0</v>
      </c>
      <c r="AK47" s="263">
        <f t="shared" si="6"/>
        <v>335033500</v>
      </c>
      <c r="AL47" s="263">
        <f t="shared" si="7"/>
        <v>555018500</v>
      </c>
      <c r="AM47" s="263">
        <f t="shared" si="8"/>
        <v>1325026500</v>
      </c>
      <c r="AN47" s="263">
        <f t="shared" si="9"/>
        <v>3080044000</v>
      </c>
      <c r="AO47" s="263"/>
      <c r="AP47" s="263">
        <f t="shared" si="10"/>
        <v>0</v>
      </c>
      <c r="AQ47" s="263">
        <f t="shared" si="11"/>
        <v>35003500</v>
      </c>
      <c r="AR47" s="263">
        <f t="shared" si="12"/>
        <v>30001000</v>
      </c>
      <c r="AS47" s="263" t="e">
        <f t="shared" si="13"/>
        <v>#VALUE!</v>
      </c>
      <c r="AT47" s="263">
        <f t="shared" si="14"/>
        <v>315004500</v>
      </c>
      <c r="AU47" s="263"/>
      <c r="AV47" s="263"/>
    </row>
    <row r="48" spans="1:48">
      <c r="A48" s="12" t="s">
        <v>571</v>
      </c>
      <c r="B48" s="119">
        <v>1128000</v>
      </c>
      <c r="C48" s="9">
        <v>520000</v>
      </c>
      <c r="D48" s="9">
        <v>111000</v>
      </c>
      <c r="E48" s="9">
        <v>114000</v>
      </c>
      <c r="F48" s="9">
        <v>127000</v>
      </c>
      <c r="G48" s="9">
        <v>255000</v>
      </c>
      <c r="H48" s="143">
        <v>541000</v>
      </c>
      <c r="I48" s="9">
        <v>213000</v>
      </c>
      <c r="J48" s="9">
        <v>44000</v>
      </c>
      <c r="K48" s="9">
        <v>50000</v>
      </c>
      <c r="L48" s="9">
        <v>34000</v>
      </c>
      <c r="M48" s="9">
        <v>95000</v>
      </c>
      <c r="N48" s="137">
        <v>84000</v>
      </c>
      <c r="O48" s="9">
        <v>30000</v>
      </c>
      <c r="P48" s="9">
        <v>11000</v>
      </c>
      <c r="Q48" s="9">
        <v>5000</v>
      </c>
      <c r="R48" s="13" t="s">
        <v>191</v>
      </c>
      <c r="S48" s="9">
        <v>12000</v>
      </c>
      <c r="T48" s="104">
        <v>387000</v>
      </c>
      <c r="U48" s="9">
        <v>137000</v>
      </c>
      <c r="V48" s="9">
        <v>32000</v>
      </c>
      <c r="W48" s="9">
        <v>20000</v>
      </c>
      <c r="X48" s="9">
        <v>23000</v>
      </c>
      <c r="Y48" s="9">
        <v>68000</v>
      </c>
      <c r="AC48" s="263"/>
      <c r="AD48" s="263">
        <f t="shared" si="0"/>
        <v>0</v>
      </c>
      <c r="AE48" s="263">
        <f t="shared" si="1"/>
        <v>555055500</v>
      </c>
      <c r="AF48" s="263">
        <f t="shared" si="2"/>
        <v>1710057000</v>
      </c>
      <c r="AG48" s="263">
        <f t="shared" si="3"/>
        <v>3175063500</v>
      </c>
      <c r="AH48" s="263">
        <f t="shared" si="4"/>
        <v>8925127500</v>
      </c>
      <c r="AI48" s="263"/>
      <c r="AJ48" s="263">
        <f t="shared" si="5"/>
        <v>0</v>
      </c>
      <c r="AK48" s="263">
        <f t="shared" si="6"/>
        <v>220022000</v>
      </c>
      <c r="AL48" s="263">
        <f t="shared" si="7"/>
        <v>750025000</v>
      </c>
      <c r="AM48" s="263">
        <f t="shared" si="8"/>
        <v>850017000</v>
      </c>
      <c r="AN48" s="263">
        <f t="shared" si="9"/>
        <v>3325047500</v>
      </c>
      <c r="AO48" s="263"/>
      <c r="AP48" s="263">
        <f t="shared" si="10"/>
        <v>0</v>
      </c>
      <c r="AQ48" s="263">
        <f t="shared" si="11"/>
        <v>55005500</v>
      </c>
      <c r="AR48" s="263">
        <f t="shared" si="12"/>
        <v>75002500</v>
      </c>
      <c r="AS48" s="263" t="e">
        <f t="shared" si="13"/>
        <v>#VALUE!</v>
      </c>
      <c r="AT48" s="263">
        <f t="shared" si="14"/>
        <v>420006000</v>
      </c>
      <c r="AU48" s="263"/>
      <c r="AV48" s="263"/>
    </row>
    <row r="49" spans="1:48">
      <c r="A49" s="12" t="s">
        <v>572</v>
      </c>
      <c r="B49" s="119">
        <v>367000</v>
      </c>
      <c r="C49" s="9">
        <v>186000</v>
      </c>
      <c r="D49" s="9">
        <v>33000</v>
      </c>
      <c r="E49" s="9">
        <v>48000</v>
      </c>
      <c r="F49" s="9">
        <v>25000</v>
      </c>
      <c r="G49" s="9">
        <v>75000</v>
      </c>
      <c r="H49" s="143">
        <v>333000</v>
      </c>
      <c r="I49" s="9">
        <v>128000</v>
      </c>
      <c r="J49" s="9">
        <v>30000</v>
      </c>
      <c r="K49" s="9">
        <v>30000</v>
      </c>
      <c r="L49" s="9">
        <v>27000</v>
      </c>
      <c r="M49" s="9">
        <v>53000</v>
      </c>
      <c r="N49" s="137">
        <v>37000</v>
      </c>
      <c r="O49" s="9">
        <v>15000</v>
      </c>
      <c r="P49" s="9">
        <v>5000</v>
      </c>
      <c r="Q49" s="13" t="s">
        <v>191</v>
      </c>
      <c r="R49" s="13" t="s">
        <v>191</v>
      </c>
      <c r="S49" s="13" t="s">
        <v>191</v>
      </c>
      <c r="T49" s="104">
        <v>250000</v>
      </c>
      <c r="U49" s="9">
        <v>93000</v>
      </c>
      <c r="V49" s="9">
        <v>13000</v>
      </c>
      <c r="W49" s="13" t="s">
        <v>191</v>
      </c>
      <c r="X49" s="9">
        <v>11000</v>
      </c>
      <c r="Y49" s="9">
        <v>47000</v>
      </c>
      <c r="AC49" s="263"/>
      <c r="AD49" s="263">
        <f t="shared" si="0"/>
        <v>0</v>
      </c>
      <c r="AE49" s="263">
        <f t="shared" si="1"/>
        <v>165016500</v>
      </c>
      <c r="AF49" s="263">
        <f t="shared" si="2"/>
        <v>720024000</v>
      </c>
      <c r="AG49" s="263">
        <f t="shared" si="3"/>
        <v>625012500</v>
      </c>
      <c r="AH49" s="263">
        <f t="shared" si="4"/>
        <v>2625037500</v>
      </c>
      <c r="AI49" s="263"/>
      <c r="AJ49" s="263">
        <f t="shared" si="5"/>
        <v>0</v>
      </c>
      <c r="AK49" s="263">
        <f t="shared" si="6"/>
        <v>150015000</v>
      </c>
      <c r="AL49" s="263">
        <f t="shared" si="7"/>
        <v>450015000</v>
      </c>
      <c r="AM49" s="263">
        <f t="shared" si="8"/>
        <v>675013500</v>
      </c>
      <c r="AN49" s="263">
        <f t="shared" si="9"/>
        <v>1855026500</v>
      </c>
      <c r="AO49" s="263"/>
      <c r="AP49" s="263">
        <f t="shared" si="10"/>
        <v>0</v>
      </c>
      <c r="AQ49" s="263">
        <f t="shared" si="11"/>
        <v>25002500</v>
      </c>
      <c r="AR49" s="263" t="e">
        <f t="shared" si="12"/>
        <v>#VALUE!</v>
      </c>
      <c r="AS49" s="263" t="e">
        <f t="shared" si="13"/>
        <v>#VALUE!</v>
      </c>
      <c r="AT49" s="263" t="e">
        <f t="shared" si="14"/>
        <v>#VALUE!</v>
      </c>
      <c r="AU49" s="263"/>
      <c r="AV49" s="263"/>
    </row>
    <row r="50" spans="1:48">
      <c r="A50" s="12" t="s">
        <v>564</v>
      </c>
      <c r="B50" s="119">
        <v>183000</v>
      </c>
      <c r="C50" s="9">
        <v>121000</v>
      </c>
      <c r="D50" s="13" t="s">
        <v>191</v>
      </c>
      <c r="E50" s="9">
        <v>19000</v>
      </c>
      <c r="F50" s="9">
        <v>13000</v>
      </c>
      <c r="G50" s="9">
        <v>24000</v>
      </c>
      <c r="H50" s="143">
        <v>155000</v>
      </c>
      <c r="I50" s="9">
        <v>83000</v>
      </c>
      <c r="J50" s="9">
        <v>13000</v>
      </c>
      <c r="K50" s="9">
        <v>12000</v>
      </c>
      <c r="L50" s="13" t="s">
        <v>191</v>
      </c>
      <c r="M50" s="9">
        <v>16000</v>
      </c>
      <c r="N50" s="137">
        <v>21000</v>
      </c>
      <c r="O50" s="9">
        <v>11000</v>
      </c>
      <c r="P50" s="13" t="s">
        <v>191</v>
      </c>
      <c r="Q50" s="13" t="s">
        <v>220</v>
      </c>
      <c r="R50" s="13" t="s">
        <v>220</v>
      </c>
      <c r="S50" s="13" t="s">
        <v>191</v>
      </c>
      <c r="T50" s="104">
        <v>320000</v>
      </c>
      <c r="U50" s="9">
        <v>198000</v>
      </c>
      <c r="V50" s="9">
        <v>11000</v>
      </c>
      <c r="W50" s="9">
        <v>8000</v>
      </c>
      <c r="X50" s="13" t="s">
        <v>191</v>
      </c>
      <c r="Y50" s="9">
        <v>22000</v>
      </c>
      <c r="AC50" s="263"/>
      <c r="AD50" s="263">
        <f t="shared" si="0"/>
        <v>0</v>
      </c>
      <c r="AE50" s="263" t="e">
        <f t="shared" si="1"/>
        <v>#VALUE!</v>
      </c>
      <c r="AF50" s="263">
        <f t="shared" si="2"/>
        <v>285009500</v>
      </c>
      <c r="AG50" s="263">
        <f t="shared" si="3"/>
        <v>325006500</v>
      </c>
      <c r="AH50" s="263">
        <f t="shared" si="4"/>
        <v>840012000</v>
      </c>
      <c r="AI50" s="263"/>
      <c r="AJ50" s="263">
        <f t="shared" si="5"/>
        <v>0</v>
      </c>
      <c r="AK50" s="263">
        <f t="shared" si="6"/>
        <v>65006500</v>
      </c>
      <c r="AL50" s="263">
        <f t="shared" si="7"/>
        <v>180006000</v>
      </c>
      <c r="AM50" s="263" t="e">
        <f t="shared" si="8"/>
        <v>#VALUE!</v>
      </c>
      <c r="AN50" s="263">
        <f t="shared" si="9"/>
        <v>560008000</v>
      </c>
      <c r="AO50" s="263"/>
      <c r="AP50" s="263">
        <f t="shared" si="10"/>
        <v>0</v>
      </c>
      <c r="AQ50" s="263" t="e">
        <f t="shared" si="11"/>
        <v>#VALUE!</v>
      </c>
      <c r="AR50" s="263" t="e">
        <f t="shared" si="12"/>
        <v>#VALUE!</v>
      </c>
      <c r="AS50" s="263" t="e">
        <f t="shared" si="13"/>
        <v>#VALUE!</v>
      </c>
      <c r="AT50" s="263" t="e">
        <f t="shared" si="14"/>
        <v>#VALUE!</v>
      </c>
      <c r="AU50" s="263"/>
      <c r="AV50" s="263"/>
    </row>
    <row r="51" spans="1:48">
      <c r="A51" s="12" t="s">
        <v>565</v>
      </c>
      <c r="B51" s="119">
        <v>102000</v>
      </c>
      <c r="C51" s="9">
        <v>51000</v>
      </c>
      <c r="D51" s="9">
        <v>25000</v>
      </c>
      <c r="E51" s="13" t="s">
        <v>191</v>
      </c>
      <c r="F51" s="9">
        <v>4000</v>
      </c>
      <c r="G51" s="9">
        <v>17000</v>
      </c>
      <c r="H51" s="143">
        <v>105000</v>
      </c>
      <c r="I51" s="9">
        <v>51000</v>
      </c>
      <c r="J51" s="9">
        <v>7000</v>
      </c>
      <c r="K51" s="9">
        <v>9000</v>
      </c>
      <c r="L51" s="9">
        <v>4000</v>
      </c>
      <c r="M51" s="9">
        <v>18000</v>
      </c>
      <c r="N51" s="137">
        <v>24000</v>
      </c>
      <c r="O51" s="9">
        <v>10000</v>
      </c>
      <c r="P51" s="13" t="s">
        <v>220</v>
      </c>
      <c r="Q51" s="13" t="s">
        <v>220</v>
      </c>
      <c r="R51" s="13" t="s">
        <v>220</v>
      </c>
      <c r="S51" s="13" t="s">
        <v>191</v>
      </c>
      <c r="T51" s="104">
        <v>152000</v>
      </c>
      <c r="U51" s="9">
        <v>58000</v>
      </c>
      <c r="V51" s="9">
        <v>10000</v>
      </c>
      <c r="W51" s="9">
        <v>13000</v>
      </c>
      <c r="X51" s="13" t="s">
        <v>220</v>
      </c>
      <c r="Y51" s="9">
        <v>20000</v>
      </c>
      <c r="AC51" s="263"/>
      <c r="AD51" s="263">
        <f t="shared" si="0"/>
        <v>0</v>
      </c>
      <c r="AE51" s="263">
        <f t="shared" si="1"/>
        <v>125012500</v>
      </c>
      <c r="AF51" s="263" t="e">
        <f t="shared" si="2"/>
        <v>#VALUE!</v>
      </c>
      <c r="AG51" s="263">
        <f t="shared" si="3"/>
        <v>100002000</v>
      </c>
      <c r="AH51" s="263">
        <f t="shared" si="4"/>
        <v>595008500</v>
      </c>
      <c r="AI51" s="263"/>
      <c r="AJ51" s="263">
        <f t="shared" si="5"/>
        <v>0</v>
      </c>
      <c r="AK51" s="263">
        <f t="shared" si="6"/>
        <v>35003500</v>
      </c>
      <c r="AL51" s="263">
        <f t="shared" si="7"/>
        <v>135004500</v>
      </c>
      <c r="AM51" s="263">
        <f t="shared" si="8"/>
        <v>100002000</v>
      </c>
      <c r="AN51" s="263">
        <f t="shared" si="9"/>
        <v>630009000</v>
      </c>
      <c r="AO51" s="263"/>
      <c r="AP51" s="263">
        <f t="shared" si="10"/>
        <v>0</v>
      </c>
      <c r="AQ51" s="263" t="e">
        <f t="shared" si="11"/>
        <v>#VALUE!</v>
      </c>
      <c r="AR51" s="263" t="e">
        <f t="shared" si="12"/>
        <v>#VALUE!</v>
      </c>
      <c r="AS51" s="263" t="e">
        <f t="shared" si="13"/>
        <v>#VALUE!</v>
      </c>
      <c r="AT51" s="263" t="e">
        <f t="shared" si="14"/>
        <v>#VALUE!</v>
      </c>
      <c r="AU51" s="263"/>
      <c r="AV51" s="263"/>
    </row>
    <row r="52" spans="1:48">
      <c r="A52" s="12" t="s">
        <v>566</v>
      </c>
      <c r="B52" s="119">
        <v>138000</v>
      </c>
      <c r="C52" s="9">
        <v>45000</v>
      </c>
      <c r="D52" s="9">
        <v>12000</v>
      </c>
      <c r="E52" s="9">
        <v>21000</v>
      </c>
      <c r="F52" s="9">
        <v>11000</v>
      </c>
      <c r="G52" s="9">
        <v>49000</v>
      </c>
      <c r="H52" s="143">
        <v>54000</v>
      </c>
      <c r="I52" s="9">
        <v>15000</v>
      </c>
      <c r="J52" s="9">
        <v>3000</v>
      </c>
      <c r="K52" s="9">
        <v>1000</v>
      </c>
      <c r="L52" s="9">
        <v>8000</v>
      </c>
      <c r="M52" s="9">
        <v>13000</v>
      </c>
      <c r="N52" s="137">
        <v>2000</v>
      </c>
      <c r="O52" s="13" t="s">
        <v>222</v>
      </c>
      <c r="P52" s="13" t="s">
        <v>220</v>
      </c>
      <c r="Q52" s="13" t="s">
        <v>220</v>
      </c>
      <c r="R52" s="13" t="s">
        <v>220</v>
      </c>
      <c r="S52" s="13" t="s">
        <v>220</v>
      </c>
      <c r="T52" s="104">
        <v>50000</v>
      </c>
      <c r="U52" s="9">
        <v>16000</v>
      </c>
      <c r="V52" s="13" t="s">
        <v>220</v>
      </c>
      <c r="W52" s="13" t="s">
        <v>220</v>
      </c>
      <c r="X52" s="13" t="s">
        <v>220</v>
      </c>
      <c r="Y52" s="13" t="s">
        <v>220</v>
      </c>
      <c r="AC52" s="263"/>
      <c r="AD52" s="263">
        <f t="shared" si="0"/>
        <v>0</v>
      </c>
      <c r="AE52" s="263">
        <f t="shared" si="1"/>
        <v>60006000</v>
      </c>
      <c r="AF52" s="263">
        <f t="shared" si="2"/>
        <v>315010500</v>
      </c>
      <c r="AG52" s="263">
        <f t="shared" si="3"/>
        <v>275005500</v>
      </c>
      <c r="AH52" s="263">
        <f t="shared" si="4"/>
        <v>1715024500</v>
      </c>
      <c r="AI52" s="263"/>
      <c r="AJ52" s="263">
        <f t="shared" si="5"/>
        <v>0</v>
      </c>
      <c r="AK52" s="263">
        <f t="shared" si="6"/>
        <v>15001500</v>
      </c>
      <c r="AL52" s="263">
        <f t="shared" si="7"/>
        <v>15000500</v>
      </c>
      <c r="AM52" s="263">
        <f t="shared" si="8"/>
        <v>200004000</v>
      </c>
      <c r="AN52" s="263">
        <f t="shared" si="9"/>
        <v>455006500</v>
      </c>
      <c r="AO52" s="263"/>
      <c r="AP52" s="263" t="e">
        <f t="shared" si="10"/>
        <v>#VALUE!</v>
      </c>
      <c r="AQ52" s="263" t="e">
        <f t="shared" si="11"/>
        <v>#VALUE!</v>
      </c>
      <c r="AR52" s="263" t="e">
        <f t="shared" si="12"/>
        <v>#VALUE!</v>
      </c>
      <c r="AS52" s="263" t="e">
        <f t="shared" si="13"/>
        <v>#VALUE!</v>
      </c>
      <c r="AT52" s="263" t="e">
        <f t="shared" si="14"/>
        <v>#VALUE!</v>
      </c>
      <c r="AU52" s="263"/>
      <c r="AV52" s="263"/>
    </row>
    <row r="53" spans="1:48">
      <c r="A53" s="10" t="s">
        <v>573</v>
      </c>
      <c r="B53" s="187"/>
      <c r="C53" s="53"/>
      <c r="D53" s="53"/>
      <c r="E53" s="53"/>
      <c r="F53" s="53"/>
      <c r="G53" s="53"/>
      <c r="H53" s="188"/>
      <c r="I53" s="53"/>
      <c r="J53" s="53"/>
      <c r="K53" s="53"/>
      <c r="L53" s="53"/>
      <c r="M53" s="53"/>
      <c r="N53" s="189"/>
      <c r="O53" s="53"/>
      <c r="P53" s="53"/>
      <c r="Q53" s="53"/>
      <c r="R53" s="53"/>
      <c r="S53" s="53"/>
      <c r="T53" s="190"/>
      <c r="U53" s="53"/>
      <c r="V53" s="53"/>
      <c r="W53" s="53"/>
      <c r="X53" s="53"/>
      <c r="Y53" s="53"/>
      <c r="AC53" s="263"/>
      <c r="AD53" s="263">
        <f t="shared" si="0"/>
        <v>0</v>
      </c>
      <c r="AE53" s="263">
        <f t="shared" si="1"/>
        <v>0</v>
      </c>
      <c r="AF53" s="263">
        <f t="shared" si="2"/>
        <v>0</v>
      </c>
      <c r="AG53" s="263">
        <f t="shared" si="3"/>
        <v>0</v>
      </c>
      <c r="AH53" s="263">
        <f t="shared" si="4"/>
        <v>0</v>
      </c>
      <c r="AI53" s="263"/>
      <c r="AJ53" s="263">
        <f t="shared" si="5"/>
        <v>0</v>
      </c>
      <c r="AK53" s="263">
        <f t="shared" si="6"/>
        <v>0</v>
      </c>
      <c r="AL53" s="263">
        <f t="shared" si="7"/>
        <v>0</v>
      </c>
      <c r="AM53" s="263">
        <f t="shared" si="8"/>
        <v>0</v>
      </c>
      <c r="AN53" s="263">
        <f t="shared" si="9"/>
        <v>0</v>
      </c>
      <c r="AO53" s="263"/>
      <c r="AP53" s="263">
        <f t="shared" si="10"/>
        <v>0</v>
      </c>
      <c r="AQ53" s="263">
        <f t="shared" si="11"/>
        <v>0</v>
      </c>
      <c r="AR53" s="263">
        <f t="shared" si="12"/>
        <v>0</v>
      </c>
      <c r="AS53" s="263">
        <f t="shared" si="13"/>
        <v>0</v>
      </c>
      <c r="AT53" s="263">
        <f t="shared" si="14"/>
        <v>0</v>
      </c>
      <c r="AU53" s="263"/>
      <c r="AV53" s="263"/>
    </row>
    <row r="54" spans="1:48">
      <c r="A54" s="12" t="s">
        <v>568</v>
      </c>
      <c r="B54" s="119">
        <v>716000</v>
      </c>
      <c r="C54" s="9">
        <v>307000</v>
      </c>
      <c r="D54" s="9">
        <v>95000</v>
      </c>
      <c r="E54" s="9">
        <v>84000</v>
      </c>
      <c r="F54" s="9">
        <v>68000</v>
      </c>
      <c r="G54" s="9">
        <v>162000</v>
      </c>
      <c r="H54" s="143">
        <v>311000</v>
      </c>
      <c r="I54" s="9">
        <v>95000</v>
      </c>
      <c r="J54" s="9">
        <v>44000</v>
      </c>
      <c r="K54" s="9">
        <v>19000</v>
      </c>
      <c r="L54" s="9">
        <v>24000</v>
      </c>
      <c r="M54" s="9">
        <v>64000</v>
      </c>
      <c r="N54" s="137">
        <v>47000</v>
      </c>
      <c r="O54" s="9">
        <v>15000</v>
      </c>
      <c r="P54" s="9">
        <v>4000</v>
      </c>
      <c r="Q54" s="13" t="s">
        <v>222</v>
      </c>
      <c r="R54" s="13" t="s">
        <v>191</v>
      </c>
      <c r="S54" s="9">
        <v>6000</v>
      </c>
      <c r="T54" s="104">
        <v>174000</v>
      </c>
      <c r="U54" s="9">
        <v>58000</v>
      </c>
      <c r="V54" s="13" t="s">
        <v>191</v>
      </c>
      <c r="W54" s="13" t="s">
        <v>191</v>
      </c>
      <c r="X54" s="13" t="s">
        <v>191</v>
      </c>
      <c r="Y54" s="9">
        <v>16000</v>
      </c>
      <c r="AC54" s="263"/>
      <c r="AD54" s="263">
        <f t="shared" si="0"/>
        <v>0</v>
      </c>
      <c r="AE54" s="263">
        <f t="shared" si="1"/>
        <v>475047500</v>
      </c>
      <c r="AF54" s="263">
        <f t="shared" si="2"/>
        <v>1260042000</v>
      </c>
      <c r="AG54" s="263">
        <f t="shared" si="3"/>
        <v>1700034000</v>
      </c>
      <c r="AH54" s="263">
        <f t="shared" si="4"/>
        <v>5670081000</v>
      </c>
      <c r="AI54" s="263"/>
      <c r="AJ54" s="263">
        <f t="shared" si="5"/>
        <v>0</v>
      </c>
      <c r="AK54" s="263">
        <f t="shared" si="6"/>
        <v>220022000</v>
      </c>
      <c r="AL54" s="263">
        <f t="shared" si="7"/>
        <v>285009500</v>
      </c>
      <c r="AM54" s="263">
        <f t="shared" si="8"/>
        <v>600012000</v>
      </c>
      <c r="AN54" s="263">
        <f t="shared" si="9"/>
        <v>2240032000</v>
      </c>
      <c r="AO54" s="263"/>
      <c r="AP54" s="263">
        <f t="shared" si="10"/>
        <v>0</v>
      </c>
      <c r="AQ54" s="263">
        <f t="shared" si="11"/>
        <v>20002000</v>
      </c>
      <c r="AR54" s="263" t="e">
        <f t="shared" si="12"/>
        <v>#VALUE!</v>
      </c>
      <c r="AS54" s="263" t="e">
        <f t="shared" si="13"/>
        <v>#VALUE!</v>
      </c>
      <c r="AT54" s="263">
        <f t="shared" si="14"/>
        <v>210003000</v>
      </c>
      <c r="AU54" s="263"/>
      <c r="AV54" s="263"/>
    </row>
    <row r="55" spans="1:48">
      <c r="A55" s="12" t="s">
        <v>569</v>
      </c>
      <c r="B55" s="119">
        <v>1525000</v>
      </c>
      <c r="C55" s="9">
        <v>594000</v>
      </c>
      <c r="D55" s="9">
        <v>252000</v>
      </c>
      <c r="E55" s="9">
        <v>177000</v>
      </c>
      <c r="F55" s="9">
        <v>185000</v>
      </c>
      <c r="G55" s="9">
        <v>317000</v>
      </c>
      <c r="H55" s="143">
        <v>737000</v>
      </c>
      <c r="I55" s="9">
        <v>232000</v>
      </c>
      <c r="J55" s="9">
        <v>89000</v>
      </c>
      <c r="K55" s="9">
        <v>85000</v>
      </c>
      <c r="L55" s="9">
        <v>53000</v>
      </c>
      <c r="M55" s="9">
        <v>147000</v>
      </c>
      <c r="N55" s="137">
        <v>88000</v>
      </c>
      <c r="O55" s="9">
        <v>31000</v>
      </c>
      <c r="P55" s="9">
        <v>14000</v>
      </c>
      <c r="Q55" s="9">
        <v>4000</v>
      </c>
      <c r="R55" s="13" t="s">
        <v>191</v>
      </c>
      <c r="S55" s="9">
        <v>10000</v>
      </c>
      <c r="T55" s="104">
        <v>362000</v>
      </c>
      <c r="U55" s="9">
        <v>91000</v>
      </c>
      <c r="V55" s="9">
        <v>51000</v>
      </c>
      <c r="W55" s="9">
        <v>37000</v>
      </c>
      <c r="X55" s="9">
        <v>28000</v>
      </c>
      <c r="Y55" s="9">
        <v>80000</v>
      </c>
      <c r="AC55" s="263"/>
      <c r="AD55" s="263">
        <f t="shared" si="0"/>
        <v>0</v>
      </c>
      <c r="AE55" s="263">
        <f t="shared" si="1"/>
        <v>1260126000</v>
      </c>
      <c r="AF55" s="263">
        <f t="shared" si="2"/>
        <v>2655088500</v>
      </c>
      <c r="AG55" s="263">
        <f t="shared" si="3"/>
        <v>4625092500</v>
      </c>
      <c r="AH55" s="263">
        <f t="shared" si="4"/>
        <v>11095158500</v>
      </c>
      <c r="AI55" s="263"/>
      <c r="AJ55" s="263">
        <f t="shared" si="5"/>
        <v>0</v>
      </c>
      <c r="AK55" s="263">
        <f t="shared" si="6"/>
        <v>445044500</v>
      </c>
      <c r="AL55" s="263">
        <f t="shared" si="7"/>
        <v>1275042500</v>
      </c>
      <c r="AM55" s="263">
        <f t="shared" si="8"/>
        <v>1325026500</v>
      </c>
      <c r="AN55" s="263">
        <f t="shared" si="9"/>
        <v>5145073500</v>
      </c>
      <c r="AO55" s="263"/>
      <c r="AP55" s="263">
        <f t="shared" si="10"/>
        <v>0</v>
      </c>
      <c r="AQ55" s="263">
        <f t="shared" si="11"/>
        <v>70007000</v>
      </c>
      <c r="AR55" s="263">
        <f t="shared" si="12"/>
        <v>60002000</v>
      </c>
      <c r="AS55" s="263" t="e">
        <f t="shared" si="13"/>
        <v>#VALUE!</v>
      </c>
      <c r="AT55" s="263">
        <f t="shared" si="14"/>
        <v>350005000</v>
      </c>
      <c r="AU55" s="263"/>
      <c r="AV55" s="263"/>
    </row>
    <row r="56" spans="1:48">
      <c r="A56" s="81" t="s">
        <v>570</v>
      </c>
      <c r="B56" s="119">
        <v>1143000</v>
      </c>
      <c r="C56" s="9">
        <v>411000</v>
      </c>
      <c r="D56" s="9">
        <v>174000</v>
      </c>
      <c r="E56" s="9">
        <v>115000</v>
      </c>
      <c r="F56" s="9">
        <v>109000</v>
      </c>
      <c r="G56" s="9">
        <v>334000</v>
      </c>
      <c r="H56" s="143">
        <v>591000</v>
      </c>
      <c r="I56" s="9">
        <v>210000</v>
      </c>
      <c r="J56" s="9">
        <v>61000</v>
      </c>
      <c r="K56" s="9">
        <v>47000</v>
      </c>
      <c r="L56" s="9">
        <v>67000</v>
      </c>
      <c r="M56" s="9">
        <v>111000</v>
      </c>
      <c r="N56" s="137">
        <v>66000</v>
      </c>
      <c r="O56" s="9">
        <v>15000</v>
      </c>
      <c r="P56" s="9">
        <v>7000</v>
      </c>
      <c r="Q56" s="13" t="s">
        <v>191</v>
      </c>
      <c r="R56" s="13" t="s">
        <v>191</v>
      </c>
      <c r="S56" s="9">
        <v>12000</v>
      </c>
      <c r="T56" s="104">
        <v>362000</v>
      </c>
      <c r="U56" s="9">
        <v>97000</v>
      </c>
      <c r="V56" s="9">
        <v>46000</v>
      </c>
      <c r="W56" s="9">
        <v>32000</v>
      </c>
      <c r="X56" s="9">
        <v>15000</v>
      </c>
      <c r="Y56" s="9">
        <v>64000</v>
      </c>
      <c r="AC56" s="263"/>
      <c r="AD56" s="263">
        <f t="shared" si="0"/>
        <v>0</v>
      </c>
      <c r="AE56" s="263">
        <f t="shared" si="1"/>
        <v>870087000</v>
      </c>
      <c r="AF56" s="263">
        <f t="shared" si="2"/>
        <v>1725057500</v>
      </c>
      <c r="AG56" s="263">
        <f t="shared" si="3"/>
        <v>2725054500</v>
      </c>
      <c r="AH56" s="263">
        <f t="shared" si="4"/>
        <v>11690167000</v>
      </c>
      <c r="AI56" s="263"/>
      <c r="AJ56" s="263">
        <f t="shared" si="5"/>
        <v>0</v>
      </c>
      <c r="AK56" s="263">
        <f t="shared" si="6"/>
        <v>305030500</v>
      </c>
      <c r="AL56" s="263">
        <f t="shared" si="7"/>
        <v>705023500</v>
      </c>
      <c r="AM56" s="263">
        <f t="shared" si="8"/>
        <v>1675033500</v>
      </c>
      <c r="AN56" s="263">
        <f t="shared" si="9"/>
        <v>3885055500</v>
      </c>
      <c r="AO56" s="263"/>
      <c r="AP56" s="263">
        <f t="shared" si="10"/>
        <v>0</v>
      </c>
      <c r="AQ56" s="263">
        <f t="shared" si="11"/>
        <v>35003500</v>
      </c>
      <c r="AR56" s="263" t="e">
        <f t="shared" si="12"/>
        <v>#VALUE!</v>
      </c>
      <c r="AS56" s="263" t="e">
        <f t="shared" si="13"/>
        <v>#VALUE!</v>
      </c>
      <c r="AT56" s="263">
        <f t="shared" si="14"/>
        <v>420006000</v>
      </c>
      <c r="AU56" s="263"/>
      <c r="AV56" s="263"/>
    </row>
    <row r="57" spans="1:48">
      <c r="A57" s="12" t="s">
        <v>571</v>
      </c>
      <c r="B57" s="119">
        <v>1098000</v>
      </c>
      <c r="C57" s="9">
        <v>497000</v>
      </c>
      <c r="D57" s="9">
        <v>80000</v>
      </c>
      <c r="E57" s="9">
        <v>118000</v>
      </c>
      <c r="F57" s="9">
        <v>119000</v>
      </c>
      <c r="G57" s="9">
        <v>284000</v>
      </c>
      <c r="H57" s="143">
        <v>558000</v>
      </c>
      <c r="I57" s="9">
        <v>190000</v>
      </c>
      <c r="J57" s="9">
        <v>46000</v>
      </c>
      <c r="K57" s="9">
        <v>55000</v>
      </c>
      <c r="L57" s="9">
        <v>39000</v>
      </c>
      <c r="M57" s="9">
        <v>101000</v>
      </c>
      <c r="N57" s="137">
        <v>70000</v>
      </c>
      <c r="O57" s="9">
        <v>31000</v>
      </c>
      <c r="P57" s="9">
        <v>5000</v>
      </c>
      <c r="Q57" s="9">
        <v>5000</v>
      </c>
      <c r="R57" s="9">
        <v>3000</v>
      </c>
      <c r="S57" s="9">
        <v>7000</v>
      </c>
      <c r="T57" s="104">
        <v>477000</v>
      </c>
      <c r="U57" s="9">
        <v>242000</v>
      </c>
      <c r="V57" s="9">
        <v>17000</v>
      </c>
      <c r="W57" s="9">
        <v>17000</v>
      </c>
      <c r="X57" s="9">
        <v>18000</v>
      </c>
      <c r="Y57" s="9">
        <v>55000</v>
      </c>
      <c r="AC57" s="263"/>
      <c r="AD57" s="263">
        <f t="shared" si="0"/>
        <v>0</v>
      </c>
      <c r="AE57" s="263">
        <f t="shared" si="1"/>
        <v>400040000</v>
      </c>
      <c r="AF57" s="263">
        <f t="shared" si="2"/>
        <v>1770059000</v>
      </c>
      <c r="AG57" s="263">
        <f t="shared" si="3"/>
        <v>2975059500</v>
      </c>
      <c r="AH57" s="263">
        <f t="shared" si="4"/>
        <v>9940142000</v>
      </c>
      <c r="AI57" s="263"/>
      <c r="AJ57" s="263">
        <f t="shared" si="5"/>
        <v>0</v>
      </c>
      <c r="AK57" s="263">
        <f t="shared" si="6"/>
        <v>230023000</v>
      </c>
      <c r="AL57" s="263">
        <f t="shared" si="7"/>
        <v>825027500</v>
      </c>
      <c r="AM57" s="263">
        <f t="shared" si="8"/>
        <v>975019500</v>
      </c>
      <c r="AN57" s="263">
        <f t="shared" si="9"/>
        <v>3535050500</v>
      </c>
      <c r="AO57" s="263"/>
      <c r="AP57" s="263">
        <f t="shared" si="10"/>
        <v>0</v>
      </c>
      <c r="AQ57" s="263">
        <f t="shared" si="11"/>
        <v>25002500</v>
      </c>
      <c r="AR57" s="263">
        <f t="shared" si="12"/>
        <v>75002500</v>
      </c>
      <c r="AS57" s="263">
        <f t="shared" si="13"/>
        <v>75001500</v>
      </c>
      <c r="AT57" s="263">
        <f t="shared" si="14"/>
        <v>245003500</v>
      </c>
      <c r="AU57" s="263"/>
      <c r="AV57" s="263"/>
    </row>
    <row r="58" spans="1:48">
      <c r="A58" s="12" t="s">
        <v>572</v>
      </c>
      <c r="B58" s="119">
        <v>356000</v>
      </c>
      <c r="C58" s="9">
        <v>178000</v>
      </c>
      <c r="D58" s="9">
        <v>30000</v>
      </c>
      <c r="E58" s="9">
        <v>33000</v>
      </c>
      <c r="F58" s="9">
        <v>26000</v>
      </c>
      <c r="G58" s="9">
        <v>89000</v>
      </c>
      <c r="H58" s="143">
        <v>336000</v>
      </c>
      <c r="I58" s="9">
        <v>143000</v>
      </c>
      <c r="J58" s="9">
        <v>40000</v>
      </c>
      <c r="K58" s="9">
        <v>15000</v>
      </c>
      <c r="L58" s="9">
        <v>23000</v>
      </c>
      <c r="M58" s="9">
        <v>64000</v>
      </c>
      <c r="N58" s="137">
        <v>57000</v>
      </c>
      <c r="O58" s="9">
        <v>23000</v>
      </c>
      <c r="P58" s="13" t="s">
        <v>191</v>
      </c>
      <c r="Q58" s="9">
        <v>3000</v>
      </c>
      <c r="R58" s="13" t="s">
        <v>191</v>
      </c>
      <c r="S58" s="9">
        <v>11000</v>
      </c>
      <c r="T58" s="104">
        <v>262000</v>
      </c>
      <c r="U58" s="9">
        <v>115000</v>
      </c>
      <c r="V58" s="9">
        <v>20000</v>
      </c>
      <c r="W58" s="9">
        <v>12000</v>
      </c>
      <c r="X58" s="9">
        <v>7000</v>
      </c>
      <c r="Y58" s="9">
        <v>54000</v>
      </c>
      <c r="AC58" s="263"/>
      <c r="AD58" s="263">
        <f t="shared" si="0"/>
        <v>0</v>
      </c>
      <c r="AE58" s="263">
        <f t="shared" si="1"/>
        <v>150015000</v>
      </c>
      <c r="AF58" s="263">
        <f t="shared" si="2"/>
        <v>495016500</v>
      </c>
      <c r="AG58" s="263">
        <f t="shared" si="3"/>
        <v>650013000</v>
      </c>
      <c r="AH58" s="263">
        <f t="shared" si="4"/>
        <v>3115044500</v>
      </c>
      <c r="AI58" s="263"/>
      <c r="AJ58" s="263">
        <f t="shared" si="5"/>
        <v>0</v>
      </c>
      <c r="AK58" s="263">
        <f t="shared" si="6"/>
        <v>200020000</v>
      </c>
      <c r="AL58" s="263">
        <f t="shared" si="7"/>
        <v>225007500</v>
      </c>
      <c r="AM58" s="263">
        <f t="shared" si="8"/>
        <v>575011500</v>
      </c>
      <c r="AN58" s="263">
        <f t="shared" si="9"/>
        <v>2240032000</v>
      </c>
      <c r="AO58" s="263"/>
      <c r="AP58" s="263">
        <f t="shared" si="10"/>
        <v>0</v>
      </c>
      <c r="AQ58" s="263" t="e">
        <f t="shared" si="11"/>
        <v>#VALUE!</v>
      </c>
      <c r="AR58" s="263">
        <f t="shared" si="12"/>
        <v>45001500</v>
      </c>
      <c r="AS58" s="263" t="e">
        <f t="shared" si="13"/>
        <v>#VALUE!</v>
      </c>
      <c r="AT58" s="263">
        <f t="shared" si="14"/>
        <v>385005500</v>
      </c>
      <c r="AU58" s="263"/>
      <c r="AV58" s="263"/>
    </row>
    <row r="59" spans="1:48">
      <c r="A59" s="12" t="s">
        <v>564</v>
      </c>
      <c r="B59" s="119">
        <v>60000</v>
      </c>
      <c r="C59" s="9">
        <v>31000</v>
      </c>
      <c r="D59" s="13" t="s">
        <v>220</v>
      </c>
      <c r="E59" s="13" t="s">
        <v>191</v>
      </c>
      <c r="F59" s="13" t="s">
        <v>191</v>
      </c>
      <c r="G59" s="9">
        <v>18000</v>
      </c>
      <c r="H59" s="143">
        <v>37000</v>
      </c>
      <c r="I59" s="9">
        <v>14000</v>
      </c>
      <c r="J59" s="13" t="s">
        <v>191</v>
      </c>
      <c r="K59" s="9">
        <v>3000</v>
      </c>
      <c r="L59" s="9">
        <v>1000</v>
      </c>
      <c r="M59" s="9">
        <v>11000</v>
      </c>
      <c r="N59" s="137">
        <v>10000</v>
      </c>
      <c r="O59" s="13" t="s">
        <v>191</v>
      </c>
      <c r="P59" s="13" t="s">
        <v>220</v>
      </c>
      <c r="Q59" s="13" t="s">
        <v>220</v>
      </c>
      <c r="R59" s="13" t="s">
        <v>220</v>
      </c>
      <c r="S59" s="13" t="s">
        <v>191</v>
      </c>
      <c r="T59" s="104">
        <v>106000</v>
      </c>
      <c r="U59" s="9">
        <v>34000</v>
      </c>
      <c r="V59" s="13" t="s">
        <v>220</v>
      </c>
      <c r="W59" s="13" t="s">
        <v>220</v>
      </c>
      <c r="X59" s="13" t="s">
        <v>220</v>
      </c>
      <c r="Y59" s="13" t="s">
        <v>191</v>
      </c>
      <c r="AC59" s="263"/>
      <c r="AD59" s="263">
        <f t="shared" si="0"/>
        <v>0</v>
      </c>
      <c r="AE59" s="263" t="e">
        <f t="shared" si="1"/>
        <v>#VALUE!</v>
      </c>
      <c r="AF59" s="263" t="e">
        <f t="shared" si="2"/>
        <v>#VALUE!</v>
      </c>
      <c r="AG59" s="263" t="e">
        <f t="shared" si="3"/>
        <v>#VALUE!</v>
      </c>
      <c r="AH59" s="263">
        <f t="shared" si="4"/>
        <v>630009000</v>
      </c>
      <c r="AI59" s="263"/>
      <c r="AJ59" s="263">
        <f t="shared" si="5"/>
        <v>0</v>
      </c>
      <c r="AK59" s="263" t="e">
        <f t="shared" si="6"/>
        <v>#VALUE!</v>
      </c>
      <c r="AL59" s="263">
        <f t="shared" si="7"/>
        <v>45001500</v>
      </c>
      <c r="AM59" s="263">
        <f t="shared" si="8"/>
        <v>25000500</v>
      </c>
      <c r="AN59" s="263">
        <f t="shared" si="9"/>
        <v>385005500</v>
      </c>
      <c r="AO59" s="263"/>
      <c r="AP59" s="263" t="e">
        <f t="shared" si="10"/>
        <v>#VALUE!</v>
      </c>
      <c r="AQ59" s="263" t="e">
        <f t="shared" si="11"/>
        <v>#VALUE!</v>
      </c>
      <c r="AR59" s="263" t="e">
        <f t="shared" si="12"/>
        <v>#VALUE!</v>
      </c>
      <c r="AS59" s="263" t="e">
        <f t="shared" si="13"/>
        <v>#VALUE!</v>
      </c>
      <c r="AT59" s="263" t="e">
        <f t="shared" si="14"/>
        <v>#VALUE!</v>
      </c>
      <c r="AU59" s="263"/>
      <c r="AV59" s="263"/>
    </row>
    <row r="60" spans="1:48">
      <c r="A60" s="12" t="s">
        <v>565</v>
      </c>
      <c r="B60" s="119">
        <v>22000</v>
      </c>
      <c r="C60" s="9">
        <v>5000</v>
      </c>
      <c r="D60" s="13" t="s">
        <v>191</v>
      </c>
      <c r="E60" s="13" t="s">
        <v>191</v>
      </c>
      <c r="F60" s="13" t="s">
        <v>220</v>
      </c>
      <c r="G60" s="9">
        <v>7000</v>
      </c>
      <c r="H60" s="143">
        <v>31000</v>
      </c>
      <c r="I60" s="9">
        <v>14000</v>
      </c>
      <c r="J60" s="13" t="s">
        <v>191</v>
      </c>
      <c r="K60" s="13" t="s">
        <v>191</v>
      </c>
      <c r="L60" s="13" t="s">
        <v>220</v>
      </c>
      <c r="M60" s="9">
        <v>6000</v>
      </c>
      <c r="N60" s="137">
        <v>16000</v>
      </c>
      <c r="O60" s="9">
        <v>5000</v>
      </c>
      <c r="P60" s="13" t="s">
        <v>220</v>
      </c>
      <c r="Q60" s="13" t="s">
        <v>220</v>
      </c>
      <c r="R60" s="13" t="s">
        <v>220</v>
      </c>
      <c r="S60" s="13" t="s">
        <v>191</v>
      </c>
      <c r="T60" s="104">
        <v>50000</v>
      </c>
      <c r="U60" s="9">
        <v>27000</v>
      </c>
      <c r="V60" s="13" t="s">
        <v>220</v>
      </c>
      <c r="W60" s="13" t="s">
        <v>220</v>
      </c>
      <c r="X60" s="13" t="s">
        <v>220</v>
      </c>
      <c r="Y60" s="13" t="s">
        <v>191</v>
      </c>
      <c r="AC60" s="263"/>
      <c r="AD60" s="263">
        <f t="shared" si="0"/>
        <v>0</v>
      </c>
      <c r="AE60" s="263" t="e">
        <f t="shared" si="1"/>
        <v>#VALUE!</v>
      </c>
      <c r="AF60" s="263" t="e">
        <f t="shared" si="2"/>
        <v>#VALUE!</v>
      </c>
      <c r="AG60" s="263" t="e">
        <f t="shared" si="3"/>
        <v>#VALUE!</v>
      </c>
      <c r="AH60" s="263">
        <f t="shared" si="4"/>
        <v>245003500</v>
      </c>
      <c r="AI60" s="263"/>
      <c r="AJ60" s="263">
        <f t="shared" si="5"/>
        <v>0</v>
      </c>
      <c r="AK60" s="263" t="e">
        <f t="shared" si="6"/>
        <v>#VALUE!</v>
      </c>
      <c r="AL60" s="263" t="e">
        <f t="shared" si="7"/>
        <v>#VALUE!</v>
      </c>
      <c r="AM60" s="263" t="e">
        <f t="shared" si="8"/>
        <v>#VALUE!</v>
      </c>
      <c r="AN60" s="263">
        <f t="shared" si="9"/>
        <v>210003000</v>
      </c>
      <c r="AO60" s="263"/>
      <c r="AP60" s="263">
        <f t="shared" si="10"/>
        <v>0</v>
      </c>
      <c r="AQ60" s="263" t="e">
        <f t="shared" si="11"/>
        <v>#VALUE!</v>
      </c>
      <c r="AR60" s="263" t="e">
        <f t="shared" si="12"/>
        <v>#VALUE!</v>
      </c>
      <c r="AS60" s="263" t="e">
        <f t="shared" si="13"/>
        <v>#VALUE!</v>
      </c>
      <c r="AT60" s="263" t="e">
        <f t="shared" si="14"/>
        <v>#VALUE!</v>
      </c>
      <c r="AU60" s="263"/>
      <c r="AV60" s="263"/>
    </row>
    <row r="61" spans="1:48">
      <c r="A61" s="12" t="s">
        <v>566</v>
      </c>
      <c r="B61" s="119">
        <v>99000</v>
      </c>
      <c r="C61" s="9">
        <v>36000</v>
      </c>
      <c r="D61" s="9">
        <v>10000</v>
      </c>
      <c r="E61" s="9">
        <v>14000</v>
      </c>
      <c r="F61" s="13" t="s">
        <v>191</v>
      </c>
      <c r="G61" s="9">
        <v>36000</v>
      </c>
      <c r="H61" s="143">
        <v>43000</v>
      </c>
      <c r="I61" s="9">
        <v>11000</v>
      </c>
      <c r="J61" s="13" t="s">
        <v>191</v>
      </c>
      <c r="K61" s="13" t="s">
        <v>220</v>
      </c>
      <c r="L61" s="13" t="s">
        <v>220</v>
      </c>
      <c r="M61" s="13" t="s">
        <v>191</v>
      </c>
      <c r="N61" s="137">
        <v>2000</v>
      </c>
      <c r="O61" s="13" t="s">
        <v>222</v>
      </c>
      <c r="P61" s="13" t="s">
        <v>220</v>
      </c>
      <c r="Q61" s="13" t="s">
        <v>220</v>
      </c>
      <c r="R61" s="13" t="s">
        <v>220</v>
      </c>
      <c r="S61" s="13" t="s">
        <v>220</v>
      </c>
      <c r="T61" s="104">
        <v>31000</v>
      </c>
      <c r="U61" s="9">
        <v>4000</v>
      </c>
      <c r="V61" s="13" t="s">
        <v>220</v>
      </c>
      <c r="W61" s="13" t="s">
        <v>220</v>
      </c>
      <c r="X61" s="13" t="s">
        <v>220</v>
      </c>
      <c r="Y61" s="13" t="s">
        <v>220</v>
      </c>
      <c r="AC61" s="263"/>
      <c r="AD61" s="263">
        <f t="shared" si="0"/>
        <v>0</v>
      </c>
      <c r="AE61" s="263">
        <f t="shared" si="1"/>
        <v>50005000</v>
      </c>
      <c r="AF61" s="263">
        <f t="shared" si="2"/>
        <v>210007000</v>
      </c>
      <c r="AG61" s="263" t="e">
        <f t="shared" si="3"/>
        <v>#VALUE!</v>
      </c>
      <c r="AH61" s="263">
        <f t="shared" si="4"/>
        <v>1260018000</v>
      </c>
      <c r="AI61" s="263"/>
      <c r="AJ61" s="263">
        <f t="shared" si="5"/>
        <v>0</v>
      </c>
      <c r="AK61" s="263" t="e">
        <f t="shared" si="6"/>
        <v>#VALUE!</v>
      </c>
      <c r="AL61" s="263" t="e">
        <f t="shared" si="7"/>
        <v>#VALUE!</v>
      </c>
      <c r="AM61" s="263" t="e">
        <f t="shared" si="8"/>
        <v>#VALUE!</v>
      </c>
      <c r="AN61" s="263" t="e">
        <f t="shared" si="9"/>
        <v>#VALUE!</v>
      </c>
      <c r="AO61" s="263"/>
      <c r="AP61" s="263" t="e">
        <f t="shared" si="10"/>
        <v>#VALUE!</v>
      </c>
      <c r="AQ61" s="263" t="e">
        <f t="shared" si="11"/>
        <v>#VALUE!</v>
      </c>
      <c r="AR61" s="263" t="e">
        <f t="shared" si="12"/>
        <v>#VALUE!</v>
      </c>
      <c r="AS61" s="263" t="e">
        <f t="shared" si="13"/>
        <v>#VALUE!</v>
      </c>
      <c r="AT61" s="263" t="e">
        <f t="shared" si="14"/>
        <v>#VALUE!</v>
      </c>
      <c r="AU61" s="263"/>
      <c r="AV61" s="263"/>
    </row>
    <row r="62" spans="1:48">
      <c r="A62" s="8" t="s">
        <v>211</v>
      </c>
      <c r="B62" s="119">
        <v>22838000</v>
      </c>
      <c r="C62" s="9">
        <v>10020000</v>
      </c>
      <c r="D62" s="9">
        <v>3074000</v>
      </c>
      <c r="E62" s="9">
        <v>2638000</v>
      </c>
      <c r="F62" s="9">
        <v>2386000</v>
      </c>
      <c r="G62" s="9">
        <v>4719000</v>
      </c>
      <c r="H62" s="143">
        <v>11950000</v>
      </c>
      <c r="I62" s="9">
        <v>4509000</v>
      </c>
      <c r="J62" s="9">
        <v>1566000</v>
      </c>
      <c r="K62" s="9">
        <v>1150000</v>
      </c>
      <c r="L62" s="9">
        <v>843000</v>
      </c>
      <c r="M62" s="9">
        <v>2095000</v>
      </c>
      <c r="N62" s="137">
        <v>707000</v>
      </c>
      <c r="O62" s="9">
        <v>312000</v>
      </c>
      <c r="P62" s="9">
        <v>110000</v>
      </c>
      <c r="Q62" s="9">
        <v>64000</v>
      </c>
      <c r="R62" s="9">
        <v>27000</v>
      </c>
      <c r="S62" s="9">
        <v>75000</v>
      </c>
      <c r="T62" s="104">
        <v>1900000</v>
      </c>
      <c r="U62" s="9">
        <v>861000</v>
      </c>
      <c r="V62" s="9">
        <v>240000</v>
      </c>
      <c r="W62" s="9">
        <v>223000</v>
      </c>
      <c r="X62" s="9">
        <v>142000</v>
      </c>
      <c r="Y62" s="9">
        <v>234000</v>
      </c>
      <c r="AC62" s="263"/>
      <c r="AD62" s="263">
        <f t="shared" si="0"/>
        <v>0</v>
      </c>
      <c r="AE62" s="263">
        <f t="shared" si="1"/>
        <v>15371537000</v>
      </c>
      <c r="AF62" s="263">
        <f t="shared" si="2"/>
        <v>39571319000</v>
      </c>
      <c r="AG62" s="263">
        <f t="shared" si="3"/>
        <v>59651193000</v>
      </c>
      <c r="AH62" s="263">
        <f t="shared" si="4"/>
        <v>165167359500</v>
      </c>
      <c r="AI62" s="263"/>
      <c r="AJ62" s="263">
        <f t="shared" si="5"/>
        <v>0</v>
      </c>
      <c r="AK62" s="263">
        <f t="shared" si="6"/>
        <v>7830783000</v>
      </c>
      <c r="AL62" s="263">
        <f t="shared" si="7"/>
        <v>17250575000</v>
      </c>
      <c r="AM62" s="263">
        <f t="shared" si="8"/>
        <v>21075421500</v>
      </c>
      <c r="AN62" s="263">
        <f t="shared" si="9"/>
        <v>73326047500</v>
      </c>
      <c r="AO62" s="263"/>
      <c r="AP62" s="263">
        <f t="shared" si="10"/>
        <v>0</v>
      </c>
      <c r="AQ62" s="263">
        <f t="shared" si="11"/>
        <v>550055000</v>
      </c>
      <c r="AR62" s="263">
        <f t="shared" si="12"/>
        <v>960032000</v>
      </c>
      <c r="AS62" s="263">
        <f t="shared" si="13"/>
        <v>675013500</v>
      </c>
      <c r="AT62" s="263">
        <f t="shared" si="14"/>
        <v>2625037500</v>
      </c>
      <c r="AU62" s="263"/>
      <c r="AV62" s="263"/>
    </row>
    <row r="63" spans="1:48">
      <c r="A63" s="10" t="s">
        <v>567</v>
      </c>
      <c r="B63" s="187"/>
      <c r="C63" s="53"/>
      <c r="D63" s="53"/>
      <c r="E63" s="53"/>
      <c r="F63" s="53"/>
      <c r="G63" s="53"/>
      <c r="H63" s="188"/>
      <c r="I63" s="53"/>
      <c r="J63" s="53"/>
      <c r="K63" s="53"/>
      <c r="L63" s="53"/>
      <c r="M63" s="53"/>
      <c r="N63" s="189"/>
      <c r="O63" s="53"/>
      <c r="P63" s="53"/>
      <c r="Q63" s="53"/>
      <c r="R63" s="53"/>
      <c r="S63" s="53"/>
      <c r="T63" s="190"/>
      <c r="U63" s="53"/>
      <c r="V63" s="53"/>
      <c r="W63" s="53"/>
      <c r="X63" s="53"/>
      <c r="Y63" s="53"/>
      <c r="AC63" s="263"/>
      <c r="AD63" s="263">
        <f t="shared" si="0"/>
        <v>0</v>
      </c>
      <c r="AE63" s="263">
        <f t="shared" si="1"/>
        <v>0</v>
      </c>
      <c r="AF63" s="263">
        <f t="shared" si="2"/>
        <v>0</v>
      </c>
      <c r="AG63" s="263">
        <f t="shared" si="3"/>
        <v>0</v>
      </c>
      <c r="AH63" s="263">
        <f t="shared" si="4"/>
        <v>0</v>
      </c>
      <c r="AI63" s="263"/>
      <c r="AJ63" s="263">
        <f t="shared" si="5"/>
        <v>0</v>
      </c>
      <c r="AK63" s="263">
        <f t="shared" si="6"/>
        <v>0</v>
      </c>
      <c r="AL63" s="263">
        <f t="shared" si="7"/>
        <v>0</v>
      </c>
      <c r="AM63" s="263">
        <f t="shared" si="8"/>
        <v>0</v>
      </c>
      <c r="AN63" s="263">
        <f t="shared" si="9"/>
        <v>0</v>
      </c>
      <c r="AO63" s="263"/>
      <c r="AP63" s="263">
        <f t="shared" si="10"/>
        <v>0</v>
      </c>
      <c r="AQ63" s="263">
        <f t="shared" si="11"/>
        <v>0</v>
      </c>
      <c r="AR63" s="263">
        <f t="shared" si="12"/>
        <v>0</v>
      </c>
      <c r="AS63" s="263">
        <f t="shared" si="13"/>
        <v>0</v>
      </c>
      <c r="AT63" s="263">
        <f t="shared" si="14"/>
        <v>0</v>
      </c>
      <c r="AU63" s="263"/>
      <c r="AV63" s="263"/>
    </row>
    <row r="64" spans="1:48">
      <c r="A64" s="12" t="s">
        <v>568</v>
      </c>
      <c r="B64" s="119">
        <v>3047000</v>
      </c>
      <c r="C64" s="9">
        <v>1377000</v>
      </c>
      <c r="D64" s="9">
        <v>518000</v>
      </c>
      <c r="E64" s="9">
        <v>413000</v>
      </c>
      <c r="F64" s="9">
        <v>281000</v>
      </c>
      <c r="G64" s="9">
        <v>459000</v>
      </c>
      <c r="H64" s="143">
        <v>1705000</v>
      </c>
      <c r="I64" s="9">
        <v>621000</v>
      </c>
      <c r="J64" s="9">
        <v>261000</v>
      </c>
      <c r="K64" s="9">
        <v>180000</v>
      </c>
      <c r="L64" s="9">
        <v>101000</v>
      </c>
      <c r="M64" s="9">
        <v>213000</v>
      </c>
      <c r="N64" s="137">
        <v>107000</v>
      </c>
      <c r="O64" s="9">
        <v>35000</v>
      </c>
      <c r="P64" s="9">
        <v>24000</v>
      </c>
      <c r="Q64" s="9">
        <v>10000</v>
      </c>
      <c r="R64" s="9">
        <v>5000</v>
      </c>
      <c r="S64" s="9">
        <v>12000</v>
      </c>
      <c r="T64" s="104">
        <v>146000</v>
      </c>
      <c r="U64" s="9">
        <v>46000</v>
      </c>
      <c r="V64" s="9">
        <v>20000</v>
      </c>
      <c r="W64" s="9">
        <v>16000</v>
      </c>
      <c r="X64" s="13" t="s">
        <v>191</v>
      </c>
      <c r="Y64" s="9">
        <v>31000</v>
      </c>
      <c r="AC64" s="263"/>
      <c r="AD64" s="263">
        <f t="shared" si="0"/>
        <v>0</v>
      </c>
      <c r="AE64" s="263">
        <f t="shared" si="1"/>
        <v>2590259000</v>
      </c>
      <c r="AF64" s="263">
        <f t="shared" si="2"/>
        <v>6195206500</v>
      </c>
      <c r="AG64" s="263">
        <f t="shared" si="3"/>
        <v>7025140500</v>
      </c>
      <c r="AH64" s="263">
        <f t="shared" si="4"/>
        <v>16065229500</v>
      </c>
      <c r="AI64" s="263"/>
      <c r="AJ64" s="263">
        <f t="shared" si="5"/>
        <v>0</v>
      </c>
      <c r="AK64" s="263">
        <f t="shared" si="6"/>
        <v>1305130500</v>
      </c>
      <c r="AL64" s="263">
        <f t="shared" si="7"/>
        <v>2700090000</v>
      </c>
      <c r="AM64" s="263">
        <f t="shared" si="8"/>
        <v>2525050500</v>
      </c>
      <c r="AN64" s="263">
        <f t="shared" si="9"/>
        <v>7455106500</v>
      </c>
      <c r="AO64" s="263"/>
      <c r="AP64" s="263">
        <f t="shared" si="10"/>
        <v>0</v>
      </c>
      <c r="AQ64" s="263">
        <f t="shared" si="11"/>
        <v>120012000</v>
      </c>
      <c r="AR64" s="263">
        <f t="shared" si="12"/>
        <v>150005000</v>
      </c>
      <c r="AS64" s="263">
        <f t="shared" si="13"/>
        <v>125002500</v>
      </c>
      <c r="AT64" s="263">
        <f t="shared" si="14"/>
        <v>420006000</v>
      </c>
      <c r="AU64" s="263"/>
      <c r="AV64" s="263"/>
    </row>
    <row r="65" spans="1:48">
      <c r="A65" s="12" t="s">
        <v>569</v>
      </c>
      <c r="B65" s="119">
        <v>6110000</v>
      </c>
      <c r="C65" s="9">
        <v>2375000</v>
      </c>
      <c r="D65" s="9">
        <v>913000</v>
      </c>
      <c r="E65" s="9">
        <v>665000</v>
      </c>
      <c r="F65" s="9">
        <v>709000</v>
      </c>
      <c r="G65" s="9">
        <v>1449000</v>
      </c>
      <c r="H65" s="143">
        <v>2859000</v>
      </c>
      <c r="I65" s="9">
        <v>901000</v>
      </c>
      <c r="J65" s="9">
        <v>394000</v>
      </c>
      <c r="K65" s="9">
        <v>266000</v>
      </c>
      <c r="L65" s="9">
        <v>228000</v>
      </c>
      <c r="M65" s="9">
        <v>584000</v>
      </c>
      <c r="N65" s="137">
        <v>151000</v>
      </c>
      <c r="O65" s="9">
        <v>55000</v>
      </c>
      <c r="P65" s="9">
        <v>24000</v>
      </c>
      <c r="Q65" s="9">
        <v>17000</v>
      </c>
      <c r="R65" s="9">
        <v>11000</v>
      </c>
      <c r="S65" s="9">
        <v>12000</v>
      </c>
      <c r="T65" s="104">
        <v>330000</v>
      </c>
      <c r="U65" s="9">
        <v>109000</v>
      </c>
      <c r="V65" s="9">
        <v>52000</v>
      </c>
      <c r="W65" s="9">
        <v>36000</v>
      </c>
      <c r="X65" s="9">
        <v>41000</v>
      </c>
      <c r="Y65" s="9">
        <v>42000</v>
      </c>
      <c r="AC65" s="263"/>
      <c r="AD65" s="263">
        <f t="shared" si="0"/>
        <v>0</v>
      </c>
      <c r="AE65" s="263">
        <f t="shared" si="1"/>
        <v>4565456500</v>
      </c>
      <c r="AF65" s="263">
        <f t="shared" si="2"/>
        <v>9975332500</v>
      </c>
      <c r="AG65" s="263">
        <f t="shared" si="3"/>
        <v>17725354500</v>
      </c>
      <c r="AH65" s="263">
        <f t="shared" si="4"/>
        <v>50715724500</v>
      </c>
      <c r="AI65" s="263"/>
      <c r="AJ65" s="263">
        <f t="shared" si="5"/>
        <v>0</v>
      </c>
      <c r="AK65" s="263">
        <f t="shared" si="6"/>
        <v>1970197000</v>
      </c>
      <c r="AL65" s="263">
        <f t="shared" si="7"/>
        <v>3990133000</v>
      </c>
      <c r="AM65" s="263">
        <f t="shared" si="8"/>
        <v>5700114000</v>
      </c>
      <c r="AN65" s="263">
        <f t="shared" si="9"/>
        <v>20440292000</v>
      </c>
      <c r="AO65" s="263"/>
      <c r="AP65" s="263">
        <f t="shared" si="10"/>
        <v>0</v>
      </c>
      <c r="AQ65" s="263">
        <f t="shared" si="11"/>
        <v>120012000</v>
      </c>
      <c r="AR65" s="263">
        <f t="shared" si="12"/>
        <v>255008500</v>
      </c>
      <c r="AS65" s="263">
        <f t="shared" si="13"/>
        <v>275005500</v>
      </c>
      <c r="AT65" s="263">
        <f t="shared" si="14"/>
        <v>420006000</v>
      </c>
      <c r="AU65" s="263"/>
      <c r="AV65" s="263"/>
    </row>
    <row r="66" spans="1:48">
      <c r="A66" s="81" t="s">
        <v>570</v>
      </c>
      <c r="B66" s="119">
        <v>4420000</v>
      </c>
      <c r="C66" s="9">
        <v>1658000</v>
      </c>
      <c r="D66" s="9">
        <v>624000</v>
      </c>
      <c r="E66" s="9">
        <v>566000</v>
      </c>
      <c r="F66" s="9">
        <v>554000</v>
      </c>
      <c r="G66" s="9">
        <v>1017000</v>
      </c>
      <c r="H66" s="143">
        <v>2218000</v>
      </c>
      <c r="I66" s="9">
        <v>718000</v>
      </c>
      <c r="J66" s="9">
        <v>243000</v>
      </c>
      <c r="K66" s="9">
        <v>285000</v>
      </c>
      <c r="L66" s="9">
        <v>239000</v>
      </c>
      <c r="M66" s="9">
        <v>472000</v>
      </c>
      <c r="N66" s="137">
        <v>139000</v>
      </c>
      <c r="O66" s="9">
        <v>53000</v>
      </c>
      <c r="P66" s="9">
        <v>27000</v>
      </c>
      <c r="Q66" s="9">
        <v>22000</v>
      </c>
      <c r="R66" s="9">
        <v>2000</v>
      </c>
      <c r="S66" s="9">
        <v>14000</v>
      </c>
      <c r="T66" s="104">
        <v>339000</v>
      </c>
      <c r="U66" s="9">
        <v>134000</v>
      </c>
      <c r="V66" s="9">
        <v>64000</v>
      </c>
      <c r="W66" s="9">
        <v>62000</v>
      </c>
      <c r="X66" s="9">
        <v>17000</v>
      </c>
      <c r="Y66" s="9">
        <v>39000</v>
      </c>
      <c r="AC66" s="263"/>
      <c r="AD66" s="263">
        <f t="shared" si="0"/>
        <v>0</v>
      </c>
      <c r="AE66" s="263">
        <f t="shared" si="1"/>
        <v>3120312000</v>
      </c>
      <c r="AF66" s="263">
        <f t="shared" si="2"/>
        <v>8490283000</v>
      </c>
      <c r="AG66" s="263">
        <f t="shared" si="3"/>
        <v>13850277000</v>
      </c>
      <c r="AH66" s="263">
        <f t="shared" si="4"/>
        <v>35595508500</v>
      </c>
      <c r="AI66" s="263"/>
      <c r="AJ66" s="263">
        <f t="shared" si="5"/>
        <v>0</v>
      </c>
      <c r="AK66" s="263">
        <f t="shared" si="6"/>
        <v>1215121500</v>
      </c>
      <c r="AL66" s="263">
        <f t="shared" si="7"/>
        <v>4275142500</v>
      </c>
      <c r="AM66" s="263">
        <f t="shared" si="8"/>
        <v>5975119500</v>
      </c>
      <c r="AN66" s="263">
        <f t="shared" si="9"/>
        <v>16520236000</v>
      </c>
      <c r="AO66" s="263"/>
      <c r="AP66" s="263">
        <f t="shared" si="10"/>
        <v>0</v>
      </c>
      <c r="AQ66" s="263">
        <f t="shared" si="11"/>
        <v>135013500</v>
      </c>
      <c r="AR66" s="263">
        <f t="shared" si="12"/>
        <v>330011000</v>
      </c>
      <c r="AS66" s="263">
        <f t="shared" si="13"/>
        <v>50001000</v>
      </c>
      <c r="AT66" s="263">
        <f t="shared" si="14"/>
        <v>490007000</v>
      </c>
      <c r="AU66" s="263"/>
      <c r="AV66" s="263"/>
    </row>
    <row r="67" spans="1:48">
      <c r="A67" s="12" t="s">
        <v>571</v>
      </c>
      <c r="B67" s="119">
        <v>4741000</v>
      </c>
      <c r="C67" s="9">
        <v>2373000</v>
      </c>
      <c r="D67" s="9">
        <v>529000</v>
      </c>
      <c r="E67" s="9">
        <v>565000</v>
      </c>
      <c r="F67" s="9">
        <v>432000</v>
      </c>
      <c r="G67" s="9">
        <v>843000</v>
      </c>
      <c r="H67" s="143">
        <v>2289000</v>
      </c>
      <c r="I67" s="9">
        <v>1000000</v>
      </c>
      <c r="J67" s="9">
        <v>311000</v>
      </c>
      <c r="K67" s="9">
        <v>192000</v>
      </c>
      <c r="L67" s="9">
        <v>125000</v>
      </c>
      <c r="M67" s="9">
        <v>329000</v>
      </c>
      <c r="N67" s="137">
        <v>115000</v>
      </c>
      <c r="O67" s="9">
        <v>65000</v>
      </c>
      <c r="P67" s="9">
        <v>14000</v>
      </c>
      <c r="Q67" s="9">
        <v>5000</v>
      </c>
      <c r="R67" s="9">
        <v>3000</v>
      </c>
      <c r="S67" s="9">
        <v>13000</v>
      </c>
      <c r="T67" s="104">
        <v>424000</v>
      </c>
      <c r="U67" s="9">
        <v>192000</v>
      </c>
      <c r="V67" s="9">
        <v>46000</v>
      </c>
      <c r="W67" s="9">
        <v>49000</v>
      </c>
      <c r="X67" s="9">
        <v>43000</v>
      </c>
      <c r="Y67" s="9">
        <v>73000</v>
      </c>
      <c r="AC67" s="263"/>
      <c r="AD67" s="263">
        <f t="shared" si="0"/>
        <v>0</v>
      </c>
      <c r="AE67" s="263">
        <f t="shared" si="1"/>
        <v>2645264500</v>
      </c>
      <c r="AF67" s="263">
        <f t="shared" si="2"/>
        <v>8475282500</v>
      </c>
      <c r="AG67" s="263">
        <f t="shared" si="3"/>
        <v>10800216000</v>
      </c>
      <c r="AH67" s="263">
        <f t="shared" si="4"/>
        <v>29505421500</v>
      </c>
      <c r="AI67" s="263"/>
      <c r="AJ67" s="263">
        <f t="shared" si="5"/>
        <v>0</v>
      </c>
      <c r="AK67" s="263">
        <f t="shared" si="6"/>
        <v>1555155500</v>
      </c>
      <c r="AL67" s="263">
        <f t="shared" si="7"/>
        <v>2880096000</v>
      </c>
      <c r="AM67" s="263">
        <f t="shared" si="8"/>
        <v>3125062500</v>
      </c>
      <c r="AN67" s="263">
        <f t="shared" si="9"/>
        <v>11515164500</v>
      </c>
      <c r="AO67" s="263"/>
      <c r="AP67" s="263">
        <f t="shared" si="10"/>
        <v>0</v>
      </c>
      <c r="AQ67" s="263">
        <f t="shared" si="11"/>
        <v>70007000</v>
      </c>
      <c r="AR67" s="263">
        <f t="shared" si="12"/>
        <v>75002500</v>
      </c>
      <c r="AS67" s="263">
        <f t="shared" si="13"/>
        <v>75001500</v>
      </c>
      <c r="AT67" s="263">
        <f t="shared" si="14"/>
        <v>455006500</v>
      </c>
      <c r="AU67" s="263"/>
      <c r="AV67" s="263"/>
    </row>
    <row r="68" spans="1:48">
      <c r="A68" s="12" t="s">
        <v>572</v>
      </c>
      <c r="B68" s="119">
        <v>2368000</v>
      </c>
      <c r="C68" s="9">
        <v>1113000</v>
      </c>
      <c r="D68" s="9">
        <v>280000</v>
      </c>
      <c r="E68" s="9">
        <v>251000</v>
      </c>
      <c r="F68" s="9">
        <v>260000</v>
      </c>
      <c r="G68" s="9">
        <v>464000</v>
      </c>
      <c r="H68" s="143">
        <v>1509000</v>
      </c>
      <c r="I68" s="9">
        <v>643000</v>
      </c>
      <c r="J68" s="9">
        <v>169000</v>
      </c>
      <c r="K68" s="9">
        <v>126000</v>
      </c>
      <c r="L68" s="9">
        <v>79000</v>
      </c>
      <c r="M68" s="9">
        <v>282000</v>
      </c>
      <c r="N68" s="137">
        <v>73000</v>
      </c>
      <c r="O68" s="9">
        <v>37000</v>
      </c>
      <c r="P68" s="9">
        <v>7000</v>
      </c>
      <c r="Q68" s="9">
        <v>5000</v>
      </c>
      <c r="R68" s="9">
        <v>3000</v>
      </c>
      <c r="S68" s="9">
        <v>9000</v>
      </c>
      <c r="T68" s="104">
        <v>230000</v>
      </c>
      <c r="U68" s="9">
        <v>114000</v>
      </c>
      <c r="V68" s="9">
        <v>36000</v>
      </c>
      <c r="W68" s="9">
        <v>17000</v>
      </c>
      <c r="X68" s="9">
        <v>11000</v>
      </c>
      <c r="Y68" s="9">
        <v>25000</v>
      </c>
      <c r="AC68" s="263"/>
      <c r="AD68" s="263">
        <f t="shared" si="0"/>
        <v>0</v>
      </c>
      <c r="AE68" s="263">
        <f t="shared" si="1"/>
        <v>1400140000</v>
      </c>
      <c r="AF68" s="263">
        <f t="shared" si="2"/>
        <v>3765125500</v>
      </c>
      <c r="AG68" s="263">
        <f t="shared" si="3"/>
        <v>6500130000</v>
      </c>
      <c r="AH68" s="263">
        <f t="shared" si="4"/>
        <v>16240232000</v>
      </c>
      <c r="AI68" s="263"/>
      <c r="AJ68" s="263">
        <f t="shared" si="5"/>
        <v>0</v>
      </c>
      <c r="AK68" s="263">
        <f t="shared" si="6"/>
        <v>845084500</v>
      </c>
      <c r="AL68" s="263">
        <f t="shared" si="7"/>
        <v>1890063000</v>
      </c>
      <c r="AM68" s="263">
        <f t="shared" si="8"/>
        <v>1975039500</v>
      </c>
      <c r="AN68" s="263">
        <f t="shared" si="9"/>
        <v>9870141000</v>
      </c>
      <c r="AO68" s="263"/>
      <c r="AP68" s="263">
        <f t="shared" si="10"/>
        <v>0</v>
      </c>
      <c r="AQ68" s="263">
        <f t="shared" si="11"/>
        <v>35003500</v>
      </c>
      <c r="AR68" s="263">
        <f t="shared" si="12"/>
        <v>75002500</v>
      </c>
      <c r="AS68" s="263">
        <f t="shared" si="13"/>
        <v>75001500</v>
      </c>
      <c r="AT68" s="263">
        <f t="shared" si="14"/>
        <v>315004500</v>
      </c>
      <c r="AU68" s="263"/>
      <c r="AV68" s="263"/>
    </row>
    <row r="69" spans="1:48">
      <c r="A69" s="12" t="s">
        <v>564</v>
      </c>
      <c r="B69" s="119">
        <v>836000</v>
      </c>
      <c r="C69" s="9">
        <v>546000</v>
      </c>
      <c r="D69" s="9">
        <v>46000</v>
      </c>
      <c r="E69" s="9">
        <v>48000</v>
      </c>
      <c r="F69" s="9">
        <v>34000</v>
      </c>
      <c r="G69" s="9">
        <v>162000</v>
      </c>
      <c r="H69" s="143">
        <v>547000</v>
      </c>
      <c r="I69" s="9">
        <v>311000</v>
      </c>
      <c r="J69" s="9">
        <v>50000</v>
      </c>
      <c r="K69" s="9">
        <v>24000</v>
      </c>
      <c r="L69" s="9">
        <v>40000</v>
      </c>
      <c r="M69" s="9">
        <v>48000</v>
      </c>
      <c r="N69" s="137">
        <v>51000</v>
      </c>
      <c r="O69" s="9">
        <v>28000</v>
      </c>
      <c r="P69" s="13" t="s">
        <v>191</v>
      </c>
      <c r="Q69" s="9">
        <v>1000</v>
      </c>
      <c r="R69" s="13" t="s">
        <v>220</v>
      </c>
      <c r="S69" s="9">
        <v>5000</v>
      </c>
      <c r="T69" s="104">
        <v>269000</v>
      </c>
      <c r="U69" s="9">
        <v>165000</v>
      </c>
      <c r="V69" s="9">
        <v>11000</v>
      </c>
      <c r="W69" s="9">
        <v>21000</v>
      </c>
      <c r="X69" s="9">
        <v>13000</v>
      </c>
      <c r="Y69" s="9">
        <v>14000</v>
      </c>
      <c r="AC69" s="263"/>
      <c r="AD69" s="263">
        <f t="shared" si="0"/>
        <v>0</v>
      </c>
      <c r="AE69" s="263">
        <f t="shared" si="1"/>
        <v>230023000</v>
      </c>
      <c r="AF69" s="263">
        <f t="shared" si="2"/>
        <v>720024000</v>
      </c>
      <c r="AG69" s="263">
        <f t="shared" si="3"/>
        <v>850017000</v>
      </c>
      <c r="AH69" s="263">
        <f t="shared" si="4"/>
        <v>5670081000</v>
      </c>
      <c r="AI69" s="263"/>
      <c r="AJ69" s="263">
        <f t="shared" si="5"/>
        <v>0</v>
      </c>
      <c r="AK69" s="263">
        <f t="shared" si="6"/>
        <v>250025000</v>
      </c>
      <c r="AL69" s="263">
        <f t="shared" si="7"/>
        <v>360012000</v>
      </c>
      <c r="AM69" s="263">
        <f t="shared" si="8"/>
        <v>1000020000</v>
      </c>
      <c r="AN69" s="263">
        <f t="shared" si="9"/>
        <v>1680024000</v>
      </c>
      <c r="AO69" s="263"/>
      <c r="AP69" s="263">
        <f t="shared" si="10"/>
        <v>0</v>
      </c>
      <c r="AQ69" s="263" t="e">
        <f t="shared" si="11"/>
        <v>#VALUE!</v>
      </c>
      <c r="AR69" s="263">
        <f t="shared" si="12"/>
        <v>15000500</v>
      </c>
      <c r="AS69" s="263" t="e">
        <f t="shared" si="13"/>
        <v>#VALUE!</v>
      </c>
      <c r="AT69" s="263">
        <f t="shared" si="14"/>
        <v>175002500</v>
      </c>
      <c r="AU69" s="263"/>
      <c r="AV69" s="263"/>
    </row>
    <row r="70" spans="1:48">
      <c r="A70" s="12" t="s">
        <v>565</v>
      </c>
      <c r="B70" s="119">
        <v>624000</v>
      </c>
      <c r="C70" s="9">
        <v>343000</v>
      </c>
      <c r="D70" s="9">
        <v>74000</v>
      </c>
      <c r="E70" s="9">
        <v>69000</v>
      </c>
      <c r="F70" s="9">
        <v>45000</v>
      </c>
      <c r="G70" s="9">
        <v>93000</v>
      </c>
      <c r="H70" s="143">
        <v>519000</v>
      </c>
      <c r="I70" s="9">
        <v>249000</v>
      </c>
      <c r="J70" s="9">
        <v>99000</v>
      </c>
      <c r="K70" s="9">
        <v>38000</v>
      </c>
      <c r="L70" s="9">
        <v>13000</v>
      </c>
      <c r="M70" s="9">
        <v>73000</v>
      </c>
      <c r="N70" s="137">
        <v>52000</v>
      </c>
      <c r="O70" s="9">
        <v>33000</v>
      </c>
      <c r="P70" s="9">
        <v>7000</v>
      </c>
      <c r="Q70" s="13" t="s">
        <v>191</v>
      </c>
      <c r="R70" s="13" t="s">
        <v>220</v>
      </c>
      <c r="S70" s="9">
        <v>6000</v>
      </c>
      <c r="T70" s="104">
        <v>138000</v>
      </c>
      <c r="U70" s="9">
        <v>89000</v>
      </c>
      <c r="V70" s="9">
        <v>10000</v>
      </c>
      <c r="W70" s="9">
        <v>21000</v>
      </c>
      <c r="X70" s="13" t="s">
        <v>191</v>
      </c>
      <c r="Y70" s="13" t="s">
        <v>191</v>
      </c>
      <c r="AC70" s="263"/>
      <c r="AD70" s="263">
        <f t="shared" ref="AD70:AD80" si="15">0*C70</f>
        <v>0</v>
      </c>
      <c r="AE70" s="263">
        <f t="shared" ref="AE70:AE80" si="16">5000.5*D70</f>
        <v>370037000</v>
      </c>
      <c r="AF70" s="263">
        <f t="shared" ref="AF70:AF80" si="17">15000.5*E70</f>
        <v>1035034500</v>
      </c>
      <c r="AG70" s="263">
        <f t="shared" ref="AG70:AG80" si="18">25000.5*F70</f>
        <v>1125022500</v>
      </c>
      <c r="AH70" s="263">
        <f t="shared" ref="AH70:AH80" si="19">35000.5*G70</f>
        <v>3255046500</v>
      </c>
      <c r="AI70" s="263"/>
      <c r="AJ70" s="263">
        <f t="shared" ref="AJ70:AJ80" si="20">0*I70</f>
        <v>0</v>
      </c>
      <c r="AK70" s="263">
        <f t="shared" ref="AK70:AK80" si="21">5000.5*J70</f>
        <v>495049500</v>
      </c>
      <c r="AL70" s="263">
        <f t="shared" ref="AL70:AL80" si="22">15000.5*K70</f>
        <v>570019000</v>
      </c>
      <c r="AM70" s="263">
        <f t="shared" ref="AM70:AM80" si="23">L70*25000.5</f>
        <v>325006500</v>
      </c>
      <c r="AN70" s="263">
        <f t="shared" ref="AN70:AN80" si="24">M70*35000.5</f>
        <v>2555036500</v>
      </c>
      <c r="AO70" s="263"/>
      <c r="AP70" s="263">
        <f t="shared" ref="AP70:AP80" si="25">O70*0</f>
        <v>0</v>
      </c>
      <c r="AQ70" s="263">
        <f t="shared" ref="AQ70:AQ80" si="26">P70*5000.5</f>
        <v>35003500</v>
      </c>
      <c r="AR70" s="263" t="e">
        <f t="shared" ref="AR70:AR80" si="27">Q70*15000.5</f>
        <v>#VALUE!</v>
      </c>
      <c r="AS70" s="263" t="e">
        <f t="shared" ref="AS70:AS80" si="28">25000.5*R70</f>
        <v>#VALUE!</v>
      </c>
      <c r="AT70" s="263">
        <f t="shared" ref="AT70:AT80" si="29">S70*35000.5</f>
        <v>210003000</v>
      </c>
      <c r="AU70" s="263"/>
      <c r="AV70" s="263"/>
    </row>
    <row r="71" spans="1:48">
      <c r="A71" s="12" t="s">
        <v>566</v>
      </c>
      <c r="B71" s="119">
        <v>692000</v>
      </c>
      <c r="C71" s="9">
        <v>235000</v>
      </c>
      <c r="D71" s="9">
        <v>90000</v>
      </c>
      <c r="E71" s="9">
        <v>62000</v>
      </c>
      <c r="F71" s="9">
        <v>72000</v>
      </c>
      <c r="G71" s="9">
        <v>233000</v>
      </c>
      <c r="H71" s="143">
        <v>304000</v>
      </c>
      <c r="I71" s="9">
        <v>65000</v>
      </c>
      <c r="J71" s="9">
        <v>39000</v>
      </c>
      <c r="K71" s="9">
        <v>39000</v>
      </c>
      <c r="L71" s="9">
        <v>18000</v>
      </c>
      <c r="M71" s="9">
        <v>94000</v>
      </c>
      <c r="N71" s="137">
        <v>18000</v>
      </c>
      <c r="O71" s="9">
        <v>6000</v>
      </c>
      <c r="P71" s="13" t="s">
        <v>220</v>
      </c>
      <c r="Q71" s="13" t="s">
        <v>220</v>
      </c>
      <c r="R71" s="13" t="s">
        <v>220</v>
      </c>
      <c r="S71" s="13" t="s">
        <v>220</v>
      </c>
      <c r="T71" s="104">
        <v>23000</v>
      </c>
      <c r="U71" s="9">
        <v>13000</v>
      </c>
      <c r="V71" s="13" t="s">
        <v>220</v>
      </c>
      <c r="W71" s="13" t="s">
        <v>220</v>
      </c>
      <c r="X71" s="13" t="s">
        <v>220</v>
      </c>
      <c r="Y71" s="13" t="s">
        <v>191</v>
      </c>
      <c r="AC71" s="263"/>
      <c r="AD71" s="263">
        <f t="shared" si="15"/>
        <v>0</v>
      </c>
      <c r="AE71" s="263">
        <f t="shared" si="16"/>
        <v>450045000</v>
      </c>
      <c r="AF71" s="263">
        <f t="shared" si="17"/>
        <v>930031000</v>
      </c>
      <c r="AG71" s="263">
        <f t="shared" si="18"/>
        <v>1800036000</v>
      </c>
      <c r="AH71" s="263">
        <f t="shared" si="19"/>
        <v>8155116500</v>
      </c>
      <c r="AI71" s="263"/>
      <c r="AJ71" s="263">
        <f t="shared" si="20"/>
        <v>0</v>
      </c>
      <c r="AK71" s="263">
        <f t="shared" si="21"/>
        <v>195019500</v>
      </c>
      <c r="AL71" s="263">
        <f t="shared" si="22"/>
        <v>585019500</v>
      </c>
      <c r="AM71" s="263">
        <f t="shared" si="23"/>
        <v>450009000</v>
      </c>
      <c r="AN71" s="263">
        <f t="shared" si="24"/>
        <v>3290047000</v>
      </c>
      <c r="AO71" s="263"/>
      <c r="AP71" s="263">
        <f t="shared" si="25"/>
        <v>0</v>
      </c>
      <c r="AQ71" s="263" t="e">
        <f t="shared" si="26"/>
        <v>#VALUE!</v>
      </c>
      <c r="AR71" s="263" t="e">
        <f t="shared" si="27"/>
        <v>#VALUE!</v>
      </c>
      <c r="AS71" s="263" t="e">
        <f t="shared" si="28"/>
        <v>#VALUE!</v>
      </c>
      <c r="AT71" s="263" t="e">
        <f t="shared" si="29"/>
        <v>#VALUE!</v>
      </c>
      <c r="AU71" s="263"/>
      <c r="AV71" s="263"/>
    </row>
    <row r="72" spans="1:48">
      <c r="A72" s="10" t="s">
        <v>573</v>
      </c>
      <c r="B72" s="187"/>
      <c r="C72" s="53"/>
      <c r="D72" s="53"/>
      <c r="E72" s="53"/>
      <c r="F72" s="53"/>
      <c r="G72" s="53"/>
      <c r="H72" s="188"/>
      <c r="I72" s="53"/>
      <c r="J72" s="53"/>
      <c r="K72" s="53"/>
      <c r="L72" s="53"/>
      <c r="M72" s="53"/>
      <c r="N72" s="189"/>
      <c r="O72" s="53"/>
      <c r="P72" s="53"/>
      <c r="Q72" s="53"/>
      <c r="R72" s="53"/>
      <c r="S72" s="53"/>
      <c r="T72" s="190"/>
      <c r="U72" s="53"/>
      <c r="V72" s="53"/>
      <c r="W72" s="53"/>
      <c r="X72" s="53"/>
      <c r="Y72" s="53"/>
      <c r="AC72" s="263"/>
      <c r="AD72" s="263">
        <f t="shared" si="15"/>
        <v>0</v>
      </c>
      <c r="AE72" s="263">
        <f t="shared" si="16"/>
        <v>0</v>
      </c>
      <c r="AF72" s="263">
        <f t="shared" si="17"/>
        <v>0</v>
      </c>
      <c r="AG72" s="263">
        <f t="shared" si="18"/>
        <v>0</v>
      </c>
      <c r="AH72" s="263">
        <f t="shared" si="19"/>
        <v>0</v>
      </c>
      <c r="AI72" s="263"/>
      <c r="AJ72" s="263">
        <f t="shared" si="20"/>
        <v>0</v>
      </c>
      <c r="AK72" s="263">
        <f t="shared" si="21"/>
        <v>0</v>
      </c>
      <c r="AL72" s="263">
        <f t="shared" si="22"/>
        <v>0</v>
      </c>
      <c r="AM72" s="263">
        <f t="shared" si="23"/>
        <v>0</v>
      </c>
      <c r="AN72" s="263">
        <f t="shared" si="24"/>
        <v>0</v>
      </c>
      <c r="AO72" s="263"/>
      <c r="AP72" s="263">
        <f t="shared" si="25"/>
        <v>0</v>
      </c>
      <c r="AQ72" s="263">
        <f t="shared" si="26"/>
        <v>0</v>
      </c>
      <c r="AR72" s="263">
        <f t="shared" si="27"/>
        <v>0</v>
      </c>
      <c r="AS72" s="263">
        <f t="shared" si="28"/>
        <v>0</v>
      </c>
      <c r="AT72" s="263">
        <f t="shared" si="29"/>
        <v>0</v>
      </c>
      <c r="AU72" s="263"/>
      <c r="AV72" s="263"/>
    </row>
    <row r="73" spans="1:48">
      <c r="A73" s="12" t="s">
        <v>568</v>
      </c>
      <c r="B73" s="119">
        <v>2914000</v>
      </c>
      <c r="C73" s="9">
        <v>1336000</v>
      </c>
      <c r="D73" s="9">
        <v>551000</v>
      </c>
      <c r="E73" s="9">
        <v>363000</v>
      </c>
      <c r="F73" s="9">
        <v>202000</v>
      </c>
      <c r="G73" s="9">
        <v>462000</v>
      </c>
      <c r="H73" s="143">
        <v>1481000</v>
      </c>
      <c r="I73" s="9">
        <v>574000</v>
      </c>
      <c r="J73" s="9">
        <v>244000</v>
      </c>
      <c r="K73" s="9">
        <v>142000</v>
      </c>
      <c r="L73" s="9">
        <v>90000</v>
      </c>
      <c r="M73" s="9">
        <v>150000</v>
      </c>
      <c r="N73" s="137">
        <v>106000</v>
      </c>
      <c r="O73" s="9">
        <v>36000</v>
      </c>
      <c r="P73" s="9">
        <v>13000</v>
      </c>
      <c r="Q73" s="9">
        <v>15000</v>
      </c>
      <c r="R73" s="9">
        <v>4000</v>
      </c>
      <c r="S73" s="9">
        <v>10000</v>
      </c>
      <c r="T73" s="104">
        <v>154000</v>
      </c>
      <c r="U73" s="9">
        <v>50000</v>
      </c>
      <c r="V73" s="9">
        <v>16000</v>
      </c>
      <c r="W73" s="9">
        <v>10000</v>
      </c>
      <c r="X73" s="9">
        <v>20000</v>
      </c>
      <c r="Y73" s="9">
        <v>29000</v>
      </c>
      <c r="AC73" s="263"/>
      <c r="AD73" s="263">
        <f t="shared" si="15"/>
        <v>0</v>
      </c>
      <c r="AE73" s="263">
        <f t="shared" si="16"/>
        <v>2755275500</v>
      </c>
      <c r="AF73" s="263">
        <f t="shared" si="17"/>
        <v>5445181500</v>
      </c>
      <c r="AG73" s="263">
        <f t="shared" si="18"/>
        <v>5050101000</v>
      </c>
      <c r="AH73" s="263">
        <f t="shared" si="19"/>
        <v>16170231000</v>
      </c>
      <c r="AI73" s="263"/>
      <c r="AJ73" s="263">
        <f t="shared" si="20"/>
        <v>0</v>
      </c>
      <c r="AK73" s="263">
        <f t="shared" si="21"/>
        <v>1220122000</v>
      </c>
      <c r="AL73" s="263">
        <f t="shared" si="22"/>
        <v>2130071000</v>
      </c>
      <c r="AM73" s="263">
        <f t="shared" si="23"/>
        <v>2250045000</v>
      </c>
      <c r="AN73" s="263">
        <f t="shared" si="24"/>
        <v>5250075000</v>
      </c>
      <c r="AO73" s="263"/>
      <c r="AP73" s="263">
        <f t="shared" si="25"/>
        <v>0</v>
      </c>
      <c r="AQ73" s="263">
        <f t="shared" si="26"/>
        <v>65006500</v>
      </c>
      <c r="AR73" s="263">
        <f t="shared" si="27"/>
        <v>225007500</v>
      </c>
      <c r="AS73" s="263">
        <f t="shared" si="28"/>
        <v>100002000</v>
      </c>
      <c r="AT73" s="263">
        <f t="shared" si="29"/>
        <v>350005000</v>
      </c>
      <c r="AU73" s="263"/>
      <c r="AV73" s="263"/>
    </row>
    <row r="74" spans="1:48">
      <c r="A74" s="12" t="s">
        <v>569</v>
      </c>
      <c r="B74" s="119">
        <v>7321000</v>
      </c>
      <c r="C74" s="9">
        <v>3102000</v>
      </c>
      <c r="D74" s="9">
        <v>1091000</v>
      </c>
      <c r="E74" s="9">
        <v>825000</v>
      </c>
      <c r="F74" s="9">
        <v>813000</v>
      </c>
      <c r="G74" s="9">
        <v>1491000</v>
      </c>
      <c r="H74" s="143">
        <v>3525000</v>
      </c>
      <c r="I74" s="9">
        <v>1210000</v>
      </c>
      <c r="J74" s="9">
        <v>474000</v>
      </c>
      <c r="K74" s="9">
        <v>363000</v>
      </c>
      <c r="L74" s="9">
        <v>263000</v>
      </c>
      <c r="M74" s="9">
        <v>636000</v>
      </c>
      <c r="N74" s="137">
        <v>179000</v>
      </c>
      <c r="O74" s="9">
        <v>65000</v>
      </c>
      <c r="P74" s="9">
        <v>31000</v>
      </c>
      <c r="Q74" s="9">
        <v>22000</v>
      </c>
      <c r="R74" s="9">
        <v>7000</v>
      </c>
      <c r="S74" s="9">
        <v>9000</v>
      </c>
      <c r="T74" s="104">
        <v>416000</v>
      </c>
      <c r="U74" s="9">
        <v>126000</v>
      </c>
      <c r="V74" s="9">
        <v>85000</v>
      </c>
      <c r="W74" s="9">
        <v>54000</v>
      </c>
      <c r="X74" s="9">
        <v>42000</v>
      </c>
      <c r="Y74" s="9">
        <v>48000</v>
      </c>
      <c r="AC74" s="263"/>
      <c r="AD74" s="263">
        <f t="shared" si="15"/>
        <v>0</v>
      </c>
      <c r="AE74" s="263">
        <f t="shared" si="16"/>
        <v>5455545500</v>
      </c>
      <c r="AF74" s="263">
        <f t="shared" si="17"/>
        <v>12375412500</v>
      </c>
      <c r="AG74" s="263">
        <f t="shared" si="18"/>
        <v>20325406500</v>
      </c>
      <c r="AH74" s="263">
        <f t="shared" si="19"/>
        <v>52185745500</v>
      </c>
      <c r="AI74" s="263"/>
      <c r="AJ74" s="263">
        <f t="shared" si="20"/>
        <v>0</v>
      </c>
      <c r="AK74" s="263">
        <f t="shared" si="21"/>
        <v>2370237000</v>
      </c>
      <c r="AL74" s="263">
        <f t="shared" si="22"/>
        <v>5445181500</v>
      </c>
      <c r="AM74" s="263">
        <f t="shared" si="23"/>
        <v>6575131500</v>
      </c>
      <c r="AN74" s="263">
        <f t="shared" si="24"/>
        <v>22260318000</v>
      </c>
      <c r="AO74" s="263"/>
      <c r="AP74" s="263">
        <f t="shared" si="25"/>
        <v>0</v>
      </c>
      <c r="AQ74" s="263">
        <f t="shared" si="26"/>
        <v>155015500</v>
      </c>
      <c r="AR74" s="263">
        <f t="shared" si="27"/>
        <v>330011000</v>
      </c>
      <c r="AS74" s="263">
        <f t="shared" si="28"/>
        <v>175003500</v>
      </c>
      <c r="AT74" s="263">
        <f t="shared" si="29"/>
        <v>315004500</v>
      </c>
      <c r="AU74" s="263"/>
      <c r="AV74" s="263"/>
    </row>
    <row r="75" spans="1:48">
      <c r="A75" s="18" t="s">
        <v>570</v>
      </c>
      <c r="B75" s="169">
        <v>5073000</v>
      </c>
      <c r="C75" s="7">
        <v>1981000</v>
      </c>
      <c r="D75" s="7">
        <v>704000</v>
      </c>
      <c r="E75" s="7">
        <v>682000</v>
      </c>
      <c r="F75" s="7">
        <v>588000</v>
      </c>
      <c r="G75" s="7">
        <v>1119000</v>
      </c>
      <c r="H75" s="172">
        <v>2660000</v>
      </c>
      <c r="I75" s="7">
        <v>966000</v>
      </c>
      <c r="J75" s="7">
        <v>374000</v>
      </c>
      <c r="K75" s="7">
        <v>294000</v>
      </c>
      <c r="L75" s="7">
        <v>213000</v>
      </c>
      <c r="M75" s="7">
        <v>522000</v>
      </c>
      <c r="N75" s="175">
        <v>143000</v>
      </c>
      <c r="O75" s="7">
        <v>64000</v>
      </c>
      <c r="P75" s="7">
        <v>31000</v>
      </c>
      <c r="Q75" s="7">
        <v>11000</v>
      </c>
      <c r="R75" s="7">
        <v>5000</v>
      </c>
      <c r="S75" s="7">
        <v>18000</v>
      </c>
      <c r="T75" s="177">
        <v>413000</v>
      </c>
      <c r="U75" s="7">
        <v>205000</v>
      </c>
      <c r="V75" s="7">
        <v>43000</v>
      </c>
      <c r="W75" s="7">
        <v>53000</v>
      </c>
      <c r="X75" s="7">
        <v>33000</v>
      </c>
      <c r="Y75" s="7">
        <v>46000</v>
      </c>
      <c r="AC75" s="263"/>
      <c r="AD75" s="263">
        <f t="shared" si="15"/>
        <v>0</v>
      </c>
      <c r="AE75" s="263">
        <f t="shared" si="16"/>
        <v>3520352000</v>
      </c>
      <c r="AF75" s="263">
        <f t="shared" si="17"/>
        <v>10230341000</v>
      </c>
      <c r="AG75" s="263">
        <f t="shared" si="18"/>
        <v>14700294000</v>
      </c>
      <c r="AH75" s="263">
        <f t="shared" si="19"/>
        <v>39165559500</v>
      </c>
      <c r="AI75" s="263"/>
      <c r="AJ75" s="263">
        <f t="shared" si="20"/>
        <v>0</v>
      </c>
      <c r="AK75" s="263">
        <f t="shared" si="21"/>
        <v>1870187000</v>
      </c>
      <c r="AL75" s="263">
        <f t="shared" si="22"/>
        <v>4410147000</v>
      </c>
      <c r="AM75" s="263">
        <f t="shared" si="23"/>
        <v>5325106500</v>
      </c>
      <c r="AN75" s="263">
        <f t="shared" si="24"/>
        <v>18270261000</v>
      </c>
      <c r="AO75" s="263"/>
      <c r="AP75" s="263">
        <f t="shared" si="25"/>
        <v>0</v>
      </c>
      <c r="AQ75" s="263">
        <f t="shared" si="26"/>
        <v>155015500</v>
      </c>
      <c r="AR75" s="263">
        <f t="shared" si="27"/>
        <v>165005500</v>
      </c>
      <c r="AS75" s="263">
        <f t="shared" si="28"/>
        <v>125002500</v>
      </c>
      <c r="AT75" s="263">
        <f t="shared" si="29"/>
        <v>630009000</v>
      </c>
      <c r="AU75" s="263"/>
      <c r="AV75" s="263"/>
    </row>
    <row r="76" spans="1:48">
      <c r="A76" s="12" t="s">
        <v>571</v>
      </c>
      <c r="B76" s="119">
        <v>5018000</v>
      </c>
      <c r="C76" s="9">
        <v>2487000</v>
      </c>
      <c r="D76" s="9">
        <v>496000</v>
      </c>
      <c r="E76" s="9">
        <v>528000</v>
      </c>
      <c r="F76" s="9">
        <v>478000</v>
      </c>
      <c r="G76" s="9">
        <v>1029000</v>
      </c>
      <c r="H76" s="143">
        <v>2341000</v>
      </c>
      <c r="I76" s="9">
        <v>1003000</v>
      </c>
      <c r="J76" s="9">
        <v>268000</v>
      </c>
      <c r="K76" s="9">
        <v>186000</v>
      </c>
      <c r="L76" s="9">
        <v>137000</v>
      </c>
      <c r="M76" s="9">
        <v>423000</v>
      </c>
      <c r="N76" s="137">
        <v>132000</v>
      </c>
      <c r="O76" s="9">
        <v>66000</v>
      </c>
      <c r="P76" s="9">
        <v>20000</v>
      </c>
      <c r="Q76" s="9">
        <v>8000</v>
      </c>
      <c r="R76" s="9">
        <v>8000</v>
      </c>
      <c r="S76" s="9">
        <v>18000</v>
      </c>
      <c r="T76" s="104">
        <v>532000</v>
      </c>
      <c r="U76" s="9">
        <v>250000</v>
      </c>
      <c r="V76" s="9">
        <v>52000</v>
      </c>
      <c r="W76" s="9">
        <v>84000</v>
      </c>
      <c r="X76" s="9">
        <v>28000</v>
      </c>
      <c r="Y76" s="9">
        <v>65000</v>
      </c>
      <c r="AC76" s="263"/>
      <c r="AD76" s="263">
        <f t="shared" si="15"/>
        <v>0</v>
      </c>
      <c r="AE76" s="263">
        <f t="shared" si="16"/>
        <v>2480248000</v>
      </c>
      <c r="AF76" s="263">
        <f t="shared" si="17"/>
        <v>7920264000</v>
      </c>
      <c r="AG76" s="263">
        <f t="shared" si="18"/>
        <v>11950239000</v>
      </c>
      <c r="AH76" s="263">
        <f t="shared" si="19"/>
        <v>36015514500</v>
      </c>
      <c r="AI76" s="263"/>
      <c r="AJ76" s="263">
        <f t="shared" si="20"/>
        <v>0</v>
      </c>
      <c r="AK76" s="263">
        <f t="shared" si="21"/>
        <v>1340134000</v>
      </c>
      <c r="AL76" s="263">
        <f t="shared" si="22"/>
        <v>2790093000</v>
      </c>
      <c r="AM76" s="263">
        <f t="shared" si="23"/>
        <v>3425068500</v>
      </c>
      <c r="AN76" s="263">
        <f t="shared" si="24"/>
        <v>14805211500</v>
      </c>
      <c r="AO76" s="263"/>
      <c r="AP76" s="263">
        <f t="shared" si="25"/>
        <v>0</v>
      </c>
      <c r="AQ76" s="263">
        <f t="shared" si="26"/>
        <v>100010000</v>
      </c>
      <c r="AR76" s="263">
        <f t="shared" si="27"/>
        <v>120004000</v>
      </c>
      <c r="AS76" s="263">
        <f t="shared" si="28"/>
        <v>200004000</v>
      </c>
      <c r="AT76" s="263">
        <f t="shared" si="29"/>
        <v>630009000</v>
      </c>
      <c r="AU76" s="263"/>
      <c r="AV76" s="263"/>
    </row>
    <row r="77" spans="1:48">
      <c r="A77" s="12" t="s">
        <v>572</v>
      </c>
      <c r="B77" s="119">
        <v>1799000</v>
      </c>
      <c r="C77" s="9">
        <v>789000</v>
      </c>
      <c r="D77" s="9">
        <v>179000</v>
      </c>
      <c r="E77" s="9">
        <v>182000</v>
      </c>
      <c r="F77" s="9">
        <v>213000</v>
      </c>
      <c r="G77" s="9">
        <v>435000</v>
      </c>
      <c r="H77" s="143">
        <v>1464000</v>
      </c>
      <c r="I77" s="9">
        <v>562000</v>
      </c>
      <c r="J77" s="9">
        <v>163000</v>
      </c>
      <c r="K77" s="9">
        <v>129000</v>
      </c>
      <c r="L77" s="9">
        <v>120000</v>
      </c>
      <c r="M77" s="9">
        <v>279000</v>
      </c>
      <c r="N77" s="137">
        <v>106000</v>
      </c>
      <c r="O77" s="9">
        <v>59000</v>
      </c>
      <c r="P77" s="9">
        <v>11000</v>
      </c>
      <c r="Q77" s="9">
        <v>7000</v>
      </c>
      <c r="R77" s="9">
        <v>2000</v>
      </c>
      <c r="S77" s="9">
        <v>14000</v>
      </c>
      <c r="T77" s="104">
        <v>255000</v>
      </c>
      <c r="U77" s="9">
        <v>138000</v>
      </c>
      <c r="V77" s="9">
        <v>39000</v>
      </c>
      <c r="W77" s="9">
        <v>17000</v>
      </c>
      <c r="X77" s="9">
        <v>11000</v>
      </c>
      <c r="Y77" s="9">
        <v>38000</v>
      </c>
      <c r="AC77" s="263"/>
      <c r="AD77" s="263">
        <f t="shared" si="15"/>
        <v>0</v>
      </c>
      <c r="AE77" s="263">
        <f t="shared" si="16"/>
        <v>895089500</v>
      </c>
      <c r="AF77" s="263">
        <f t="shared" si="17"/>
        <v>2730091000</v>
      </c>
      <c r="AG77" s="263">
        <f t="shared" si="18"/>
        <v>5325106500</v>
      </c>
      <c r="AH77" s="263">
        <f t="shared" si="19"/>
        <v>15225217500</v>
      </c>
      <c r="AI77" s="263"/>
      <c r="AJ77" s="263">
        <f t="shared" si="20"/>
        <v>0</v>
      </c>
      <c r="AK77" s="263">
        <f t="shared" si="21"/>
        <v>815081500</v>
      </c>
      <c r="AL77" s="263">
        <f t="shared" si="22"/>
        <v>1935064500</v>
      </c>
      <c r="AM77" s="263">
        <f t="shared" si="23"/>
        <v>3000060000</v>
      </c>
      <c r="AN77" s="263">
        <f t="shared" si="24"/>
        <v>9765139500</v>
      </c>
      <c r="AO77" s="263"/>
      <c r="AP77" s="263">
        <f t="shared" si="25"/>
        <v>0</v>
      </c>
      <c r="AQ77" s="263">
        <f t="shared" si="26"/>
        <v>55005500</v>
      </c>
      <c r="AR77" s="263">
        <f t="shared" si="27"/>
        <v>105003500</v>
      </c>
      <c r="AS77" s="263">
        <f t="shared" si="28"/>
        <v>50001000</v>
      </c>
      <c r="AT77" s="263">
        <f t="shared" si="29"/>
        <v>490007000</v>
      </c>
      <c r="AU77" s="263"/>
      <c r="AV77" s="263"/>
    </row>
    <row r="78" spans="1:48">
      <c r="A78" s="12" t="s">
        <v>564</v>
      </c>
      <c r="B78" s="119">
        <v>211000</v>
      </c>
      <c r="C78" s="9">
        <v>99000</v>
      </c>
      <c r="D78" s="9">
        <v>22000</v>
      </c>
      <c r="E78" s="13" t="s">
        <v>191</v>
      </c>
      <c r="F78" s="9">
        <v>30000</v>
      </c>
      <c r="G78" s="9">
        <v>50000</v>
      </c>
      <c r="H78" s="143">
        <v>143000</v>
      </c>
      <c r="I78" s="9">
        <v>79000</v>
      </c>
      <c r="J78" s="9">
        <v>22000</v>
      </c>
      <c r="K78" s="13" t="s">
        <v>191</v>
      </c>
      <c r="L78" s="13" t="s">
        <v>191</v>
      </c>
      <c r="M78" s="9">
        <v>18000</v>
      </c>
      <c r="N78" s="137">
        <v>17000</v>
      </c>
      <c r="O78" s="9">
        <v>8000</v>
      </c>
      <c r="P78" s="13" t="s">
        <v>220</v>
      </c>
      <c r="Q78" s="13" t="s">
        <v>220</v>
      </c>
      <c r="R78" s="13" t="s">
        <v>220</v>
      </c>
      <c r="S78" s="13" t="s">
        <v>220</v>
      </c>
      <c r="T78" s="104">
        <v>65000</v>
      </c>
      <c r="U78" s="9">
        <v>42000</v>
      </c>
      <c r="V78" s="13" t="s">
        <v>220</v>
      </c>
      <c r="W78" s="9">
        <v>5000</v>
      </c>
      <c r="X78" s="13" t="s">
        <v>191</v>
      </c>
      <c r="Y78" s="13" t="s">
        <v>191</v>
      </c>
      <c r="AC78" s="263"/>
      <c r="AD78" s="263">
        <f t="shared" si="15"/>
        <v>0</v>
      </c>
      <c r="AE78" s="263">
        <f t="shared" si="16"/>
        <v>110011000</v>
      </c>
      <c r="AF78" s="263" t="e">
        <f t="shared" si="17"/>
        <v>#VALUE!</v>
      </c>
      <c r="AG78" s="263">
        <f t="shared" si="18"/>
        <v>750015000</v>
      </c>
      <c r="AH78" s="263">
        <f t="shared" si="19"/>
        <v>1750025000</v>
      </c>
      <c r="AI78" s="263"/>
      <c r="AJ78" s="263">
        <f t="shared" si="20"/>
        <v>0</v>
      </c>
      <c r="AK78" s="263">
        <f t="shared" si="21"/>
        <v>110011000</v>
      </c>
      <c r="AL78" s="263" t="e">
        <f t="shared" si="22"/>
        <v>#VALUE!</v>
      </c>
      <c r="AM78" s="263" t="e">
        <f t="shared" si="23"/>
        <v>#VALUE!</v>
      </c>
      <c r="AN78" s="263">
        <f t="shared" si="24"/>
        <v>630009000</v>
      </c>
      <c r="AO78" s="263"/>
      <c r="AP78" s="263">
        <f t="shared" si="25"/>
        <v>0</v>
      </c>
      <c r="AQ78" s="263" t="e">
        <f t="shared" si="26"/>
        <v>#VALUE!</v>
      </c>
      <c r="AR78" s="263" t="e">
        <f t="shared" si="27"/>
        <v>#VALUE!</v>
      </c>
      <c r="AS78" s="263" t="e">
        <f t="shared" si="28"/>
        <v>#VALUE!</v>
      </c>
      <c r="AT78" s="263" t="e">
        <f t="shared" si="29"/>
        <v>#VALUE!</v>
      </c>
      <c r="AU78" s="263"/>
      <c r="AV78" s="263"/>
    </row>
    <row r="79" spans="1:48">
      <c r="A79" s="12" t="s">
        <v>565</v>
      </c>
      <c r="B79" s="119">
        <v>165000</v>
      </c>
      <c r="C79" s="9">
        <v>88000</v>
      </c>
      <c r="D79" s="13" t="s">
        <v>220</v>
      </c>
      <c r="E79" s="9">
        <v>9000</v>
      </c>
      <c r="F79" s="9">
        <v>27000</v>
      </c>
      <c r="G79" s="9">
        <v>34000</v>
      </c>
      <c r="H79" s="143">
        <v>192000</v>
      </c>
      <c r="I79" s="9">
        <v>73000</v>
      </c>
      <c r="J79" s="9">
        <v>18000</v>
      </c>
      <c r="K79" s="9">
        <v>11000</v>
      </c>
      <c r="L79" s="9">
        <v>13000</v>
      </c>
      <c r="M79" s="9">
        <v>23000</v>
      </c>
      <c r="N79" s="137">
        <v>15000</v>
      </c>
      <c r="O79" s="9">
        <v>8000</v>
      </c>
      <c r="P79" s="13" t="s">
        <v>220</v>
      </c>
      <c r="Q79" s="13" t="s">
        <v>220</v>
      </c>
      <c r="R79" s="13" t="s">
        <v>191</v>
      </c>
      <c r="S79" s="13" t="s">
        <v>220</v>
      </c>
      <c r="T79" s="104">
        <v>52000</v>
      </c>
      <c r="U79" s="9">
        <v>38000</v>
      </c>
      <c r="V79" s="13" t="s">
        <v>220</v>
      </c>
      <c r="W79" s="13" t="s">
        <v>220</v>
      </c>
      <c r="X79" s="13" t="s">
        <v>191</v>
      </c>
      <c r="Y79" s="13" t="s">
        <v>191</v>
      </c>
      <c r="AC79" s="263"/>
      <c r="AD79" s="263">
        <f t="shared" si="15"/>
        <v>0</v>
      </c>
      <c r="AE79" s="263" t="e">
        <f t="shared" si="16"/>
        <v>#VALUE!</v>
      </c>
      <c r="AF79" s="263">
        <f t="shared" si="17"/>
        <v>135004500</v>
      </c>
      <c r="AG79" s="263">
        <f t="shared" si="18"/>
        <v>675013500</v>
      </c>
      <c r="AH79" s="263">
        <f t="shared" si="19"/>
        <v>1190017000</v>
      </c>
      <c r="AI79" s="263"/>
      <c r="AJ79" s="263">
        <f t="shared" si="20"/>
        <v>0</v>
      </c>
      <c r="AK79" s="263">
        <f t="shared" si="21"/>
        <v>90009000</v>
      </c>
      <c r="AL79" s="263">
        <f t="shared" si="22"/>
        <v>165005500</v>
      </c>
      <c r="AM79" s="263">
        <f t="shared" si="23"/>
        <v>325006500</v>
      </c>
      <c r="AN79" s="263">
        <f t="shared" si="24"/>
        <v>805011500</v>
      </c>
      <c r="AO79" s="263"/>
      <c r="AP79" s="263">
        <f t="shared" si="25"/>
        <v>0</v>
      </c>
      <c r="AQ79" s="263" t="e">
        <f t="shared" si="26"/>
        <v>#VALUE!</v>
      </c>
      <c r="AR79" s="263" t="e">
        <f t="shared" si="27"/>
        <v>#VALUE!</v>
      </c>
      <c r="AS79" s="263" t="e">
        <f t="shared" si="28"/>
        <v>#VALUE!</v>
      </c>
      <c r="AT79" s="263" t="e">
        <f t="shared" si="29"/>
        <v>#VALUE!</v>
      </c>
      <c r="AU79" s="263"/>
      <c r="AV79" s="263"/>
    </row>
    <row r="80" spans="1:48">
      <c r="A80" s="49" t="s">
        <v>566</v>
      </c>
      <c r="B80" s="181">
        <v>337000</v>
      </c>
      <c r="C80" s="21">
        <v>138000</v>
      </c>
      <c r="D80" s="21">
        <v>24000</v>
      </c>
      <c r="E80" s="21">
        <v>40000</v>
      </c>
      <c r="F80" s="21">
        <v>36000</v>
      </c>
      <c r="G80" s="21">
        <v>100000</v>
      </c>
      <c r="H80" s="179">
        <v>144000</v>
      </c>
      <c r="I80" s="21">
        <v>42000</v>
      </c>
      <c r="J80" s="21">
        <v>3000</v>
      </c>
      <c r="K80" s="21">
        <v>18000</v>
      </c>
      <c r="L80" s="40" t="s">
        <v>191</v>
      </c>
      <c r="M80" s="21">
        <v>43000</v>
      </c>
      <c r="N80" s="180">
        <v>11000</v>
      </c>
      <c r="O80" s="21">
        <v>5000</v>
      </c>
      <c r="P80" s="40" t="s">
        <v>220</v>
      </c>
      <c r="Q80" s="40" t="s">
        <v>220</v>
      </c>
      <c r="R80" s="40" t="s">
        <v>220</v>
      </c>
      <c r="S80" s="40" t="s">
        <v>220</v>
      </c>
      <c r="T80" s="178">
        <v>13000</v>
      </c>
      <c r="U80" s="40" t="s">
        <v>220</v>
      </c>
      <c r="V80" s="40" t="s">
        <v>220</v>
      </c>
      <c r="W80" s="40" t="s">
        <v>220</v>
      </c>
      <c r="X80" s="40" t="s">
        <v>220</v>
      </c>
      <c r="Y80" s="40" t="s">
        <v>220</v>
      </c>
      <c r="AC80" s="263"/>
      <c r="AD80" s="263">
        <f t="shared" si="15"/>
        <v>0</v>
      </c>
      <c r="AE80" s="263">
        <f t="shared" si="16"/>
        <v>120012000</v>
      </c>
      <c r="AF80" s="263">
        <f t="shared" si="17"/>
        <v>600020000</v>
      </c>
      <c r="AG80" s="263">
        <f t="shared" si="18"/>
        <v>900018000</v>
      </c>
      <c r="AH80" s="263">
        <f t="shared" si="19"/>
        <v>3500050000</v>
      </c>
      <c r="AI80" s="263"/>
      <c r="AJ80" s="263">
        <f t="shared" si="20"/>
        <v>0</v>
      </c>
      <c r="AK80" s="263">
        <f t="shared" si="21"/>
        <v>15001500</v>
      </c>
      <c r="AL80" s="263">
        <f t="shared" si="22"/>
        <v>270009000</v>
      </c>
      <c r="AM80" s="263" t="e">
        <f t="shared" si="23"/>
        <v>#VALUE!</v>
      </c>
      <c r="AN80" s="263">
        <f t="shared" si="24"/>
        <v>1505021500</v>
      </c>
      <c r="AO80" s="263"/>
      <c r="AP80" s="263">
        <f t="shared" si="25"/>
        <v>0</v>
      </c>
      <c r="AQ80" s="263" t="e">
        <f t="shared" si="26"/>
        <v>#VALUE!</v>
      </c>
      <c r="AR80" s="263" t="e">
        <f t="shared" si="27"/>
        <v>#VALUE!</v>
      </c>
      <c r="AS80" s="263" t="e">
        <f t="shared" si="28"/>
        <v>#VALUE!</v>
      </c>
      <c r="AT80" s="263" t="e">
        <f t="shared" si="29"/>
        <v>#VALUE!</v>
      </c>
      <c r="AU80" s="263"/>
      <c r="AV80" s="263"/>
    </row>
    <row r="81" spans="1:46">
      <c r="A81" s="344" t="s">
        <v>224</v>
      </c>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c r="AB81" s="290" t="s">
        <v>78</v>
      </c>
      <c r="AC81" s="293">
        <f>SUM(AD81:AH81)</f>
        <v>3201462611000</v>
      </c>
      <c r="AD81" s="263">
        <f>SUM(AD5:AD80)</f>
        <v>0</v>
      </c>
      <c r="AE81" s="263">
        <f>SUMIF(AE5:AE80, "&gt;=0")</f>
        <v>169691967500</v>
      </c>
      <c r="AF81" s="263">
        <f>SUMIF(AF5:AF80, "&gt;=0")</f>
        <v>449894996000</v>
      </c>
      <c r="AG81" s="263">
        <f>SUMIF(AG5:AG80, "&gt;=0")</f>
        <v>658738174500</v>
      </c>
      <c r="AH81" s="263">
        <f t="shared" ref="AH81" si="30">SUM(AH5:AH80)</f>
        <v>1923137473000</v>
      </c>
      <c r="AI81" s="263">
        <f>SUM(AJ81:AN81)</f>
        <v>1109446120000</v>
      </c>
      <c r="AJ81" s="263">
        <f>SUM(AJ5:AJ80)</f>
        <v>0</v>
      </c>
      <c r="AK81" s="263">
        <f>SUMIF(AK5:AK80, "&gt;=0")</f>
        <v>70752074500</v>
      </c>
      <c r="AL81" s="263">
        <f>SUMIF(AL5:AL80, "&gt;=0")</f>
        <v>160310343500</v>
      </c>
      <c r="AM81" s="263">
        <f>SUMIF(AM5:AM80, "&gt;=0")</f>
        <v>201929038500</v>
      </c>
      <c r="AN81" s="263">
        <f>SUMIF(AN5:AN80, "&gt;=0")</f>
        <v>676454663500</v>
      </c>
      <c r="AO81" s="263">
        <f>SUM(AP81:AT81)</f>
        <v>89702497000</v>
      </c>
      <c r="AP81" s="263">
        <f>SUMIF(AP5:AP80, "&gt;=0")</f>
        <v>0</v>
      </c>
      <c r="AQ81" s="263">
        <f>SUMIF(AQ5:AQ80, "&gt;=0")</f>
        <v>9775977500</v>
      </c>
      <c r="AR81" s="263">
        <f>SUMIF(AR5:AR80, "&gt;=0")</f>
        <v>14790493000</v>
      </c>
      <c r="AS81" s="263">
        <f>SUMIF(AS5:AS80, "&gt;=0")</f>
        <v>16800336000</v>
      </c>
      <c r="AT81" s="263">
        <f>SUMIF(AT5:AT80, "&gt;=0")</f>
        <v>48335690500</v>
      </c>
    </row>
    <row r="82" spans="1:46">
      <c r="A82" s="321" t="s">
        <v>574</v>
      </c>
      <c r="B82" s="321"/>
      <c r="C82" s="321"/>
      <c r="D82" s="321"/>
      <c r="E82" s="321"/>
      <c r="F82" s="321"/>
      <c r="G82" s="321"/>
      <c r="H82" s="321"/>
      <c r="I82" s="321"/>
      <c r="J82" s="321"/>
      <c r="K82" s="321"/>
      <c r="L82" s="321"/>
      <c r="M82" s="321"/>
      <c r="N82" s="321"/>
      <c r="O82" s="321"/>
      <c r="P82" s="321"/>
      <c r="Q82" s="321"/>
      <c r="R82" s="321"/>
      <c r="S82" s="321"/>
      <c r="T82" s="321"/>
      <c r="U82" s="321"/>
      <c r="V82" s="321"/>
      <c r="W82" s="321"/>
      <c r="X82" s="321"/>
      <c r="Y82" s="321"/>
      <c r="Z82" s="321"/>
      <c r="AE82" s="263"/>
    </row>
    <row r="83" spans="1:46">
      <c r="AB83" s="290" t="s">
        <v>579</v>
      </c>
      <c r="AC83" s="263">
        <f>AC81/B84</f>
        <v>12448.915148852113</v>
      </c>
      <c r="AE83" s="263"/>
    </row>
    <row r="84" spans="1:46">
      <c r="A84" s="290" t="s">
        <v>78</v>
      </c>
      <c r="B84" s="294">
        <f>SUM(C84:G84)</f>
        <v>257168000</v>
      </c>
      <c r="C84" s="102">
        <f>SUMIF(C5:C80, "&gt;=0")</f>
        <v>111946000</v>
      </c>
      <c r="D84" s="102">
        <f>SUMIF(D5:D80, "&gt;=0")</f>
        <v>33935000</v>
      </c>
      <c r="E84" s="102">
        <f t="shared" ref="E84:G84" si="31">SUMIF(E5:E80, "&gt;=0")</f>
        <v>29992000</v>
      </c>
      <c r="F84" s="102">
        <f t="shared" si="31"/>
        <v>26349000</v>
      </c>
      <c r="G84" s="102">
        <f t="shared" si="31"/>
        <v>54946000</v>
      </c>
      <c r="H84" s="291">
        <f>SUM(I84:M84)</f>
        <v>96221000</v>
      </c>
      <c r="I84" s="102">
        <f>SUMIF(I5:I80, "&gt;=0")</f>
        <v>43981000</v>
      </c>
      <c r="J84" s="102">
        <f t="shared" ref="J84:M84" si="32">SUMIF(J5:J80, "&gt;=0")</f>
        <v>14149000</v>
      </c>
      <c r="K84" s="102">
        <f t="shared" si="32"/>
        <v>10687000</v>
      </c>
      <c r="L84" s="102">
        <f t="shared" si="32"/>
        <v>8077000</v>
      </c>
      <c r="M84" s="102">
        <f t="shared" si="32"/>
        <v>19327000</v>
      </c>
      <c r="N84" s="292">
        <f>SUM(O84:S84)</f>
        <v>12401000</v>
      </c>
      <c r="O84" s="102">
        <f>SUMIF(O5:O80, "&gt;=0")</f>
        <v>7407000</v>
      </c>
      <c r="P84" s="102">
        <f t="shared" ref="P84:S84" si="33">SUMIF(P5:P80, "&gt;=0")</f>
        <v>1955000</v>
      </c>
      <c r="Q84" s="102">
        <f t="shared" si="33"/>
        <v>986000</v>
      </c>
      <c r="R84" s="102">
        <f t="shared" si="33"/>
        <v>672000</v>
      </c>
      <c r="S84" s="102">
        <f t="shared" si="33"/>
        <v>1381000</v>
      </c>
      <c r="AC84" s="285"/>
      <c r="AD84" s="263"/>
      <c r="AE84" s="263"/>
      <c r="AF84" s="263"/>
      <c r="AI84" s="263">
        <f>AI81/H84</f>
        <v>11530.186965423349</v>
      </c>
      <c r="AO84" s="263">
        <f>AO81/N84</f>
        <v>7233.4889928231596</v>
      </c>
    </row>
    <row r="85" spans="1:46">
      <c r="AB85" s="290" t="s">
        <v>580</v>
      </c>
      <c r="AC85" s="263">
        <f>SUM(AC83,AI84,AO84)</f>
        <v>31212.591107098622</v>
      </c>
    </row>
    <row r="89" spans="1:46">
      <c r="AB89" s="285" t="s">
        <v>581</v>
      </c>
      <c r="AC89" s="285" t="s">
        <v>579</v>
      </c>
    </row>
    <row r="90" spans="1:46">
      <c r="AB90" s="285" t="s">
        <v>48</v>
      </c>
      <c r="AC90" s="263">
        <f>AC83</f>
        <v>12448.915148852113</v>
      </c>
    </row>
    <row r="91" spans="1:46">
      <c r="AB91" s="285" t="s">
        <v>49</v>
      </c>
      <c r="AC91" s="263">
        <f>AI84</f>
        <v>11530.186965423349</v>
      </c>
    </row>
    <row r="92" spans="1:46">
      <c r="AB92" s="285" t="s">
        <v>50</v>
      </c>
      <c r="AC92" s="263">
        <f>AO84</f>
        <v>7233.4889928231596</v>
      </c>
    </row>
  </sheetData>
  <mergeCells count="12">
    <mergeCell ref="A82:Z82"/>
    <mergeCell ref="A1:Z1"/>
    <mergeCell ref="A3:A4"/>
    <mergeCell ref="B3:G3"/>
    <mergeCell ref="H3:M3"/>
    <mergeCell ref="N3:S3"/>
    <mergeCell ref="T3:Y3"/>
    <mergeCell ref="AB3:AB4"/>
    <mergeCell ref="AC3:AH3"/>
    <mergeCell ref="AI3:AN3"/>
    <mergeCell ref="AO3:AT3"/>
    <mergeCell ref="A81:Z81"/>
  </mergeCells>
  <pageMargins left="0.7" right="0.7" top="0.75" bottom="0.75" header="0.3" footer="0.3"/>
  <drawing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N125"/>
  <sheetViews>
    <sheetView topLeftCell="I1" workbookViewId="0">
      <pane ySplit="3" topLeftCell="A63" activePane="bottomLeft" state="frozen"/>
      <selection pane="bottomLeft" activeCell="L44" sqref="L44"/>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9.77734375" customWidth="1"/>
    <col min="11" max="12" width="18.6640625" bestFit="1" customWidth="1"/>
  </cols>
  <sheetData>
    <row r="1" spans="1:12" ht="39" customHeight="1">
      <c r="A1" s="420" t="s">
        <v>582</v>
      </c>
      <c r="B1" s="420"/>
      <c r="C1" s="420"/>
      <c r="D1" s="420"/>
      <c r="E1" s="420"/>
      <c r="F1" s="420"/>
      <c r="G1" s="420"/>
    </row>
    <row r="2" spans="1:12" ht="1.95" customHeight="1"/>
    <row r="3" spans="1:12" ht="27.75" customHeight="1">
      <c r="A3" s="101" t="s">
        <v>583</v>
      </c>
      <c r="B3" s="46" t="s">
        <v>167</v>
      </c>
      <c r="C3" s="82" t="s">
        <v>252</v>
      </c>
      <c r="D3" s="83" t="s">
        <v>258</v>
      </c>
      <c r="E3" s="82" t="s">
        <v>259</v>
      </c>
      <c r="F3" s="84" t="s">
        <v>584</v>
      </c>
      <c r="G3" s="235" t="s">
        <v>585</v>
      </c>
      <c r="H3" s="235" t="s">
        <v>586</v>
      </c>
      <c r="I3" s="235" t="s">
        <v>587</v>
      </c>
      <c r="J3" s="236" t="s">
        <v>588</v>
      </c>
      <c r="K3" s="287" t="s">
        <v>589</v>
      </c>
      <c r="L3" s="285" t="s">
        <v>590</v>
      </c>
    </row>
    <row r="4" spans="1:12" ht="24.75" customHeight="1">
      <c r="A4" s="128" t="s">
        <v>591</v>
      </c>
      <c r="B4" s="192">
        <v>51764000</v>
      </c>
      <c r="C4" s="193">
        <v>36346000</v>
      </c>
      <c r="D4" s="193">
        <v>3342000</v>
      </c>
      <c r="E4" s="193">
        <v>6637000</v>
      </c>
      <c r="F4" s="193">
        <v>5439000</v>
      </c>
      <c r="G4" s="277">
        <f>C4/$B4</f>
        <v>0.70214821111196968</v>
      </c>
      <c r="H4" s="277">
        <f t="shared" ref="H4:J4" si="0">D4/$B4</f>
        <v>6.4562244030600416E-2</v>
      </c>
      <c r="I4" s="277">
        <f t="shared" si="0"/>
        <v>0.12821652113437912</v>
      </c>
      <c r="J4" s="277">
        <f t="shared" si="0"/>
        <v>0.10507302372305077</v>
      </c>
      <c r="K4" s="277">
        <f>B4/$B$4</f>
        <v>1</v>
      </c>
      <c r="L4" s="277">
        <f>K4</f>
        <v>1</v>
      </c>
    </row>
    <row r="5" spans="1:12" ht="12.45" customHeight="1">
      <c r="A5" s="129" t="s">
        <v>174</v>
      </c>
      <c r="B5" s="105">
        <v>7894000</v>
      </c>
      <c r="C5" s="9">
        <v>5804000</v>
      </c>
      <c r="D5" s="9">
        <v>1047000</v>
      </c>
      <c r="E5" s="9">
        <v>206000</v>
      </c>
      <c r="F5" s="9">
        <v>836000</v>
      </c>
      <c r="G5" s="204">
        <f t="shared" ref="G5:G39" si="1">C5/$B5</f>
        <v>0.73524195591588548</v>
      </c>
      <c r="H5" s="204">
        <f t="shared" ref="H5:H39" si="2">D5/$B5</f>
        <v>0.13263237902204206</v>
      </c>
      <c r="I5" s="204">
        <f t="shared" ref="I5:I39" si="3">E5/$B5</f>
        <v>2.6095768938434252E-2</v>
      </c>
      <c r="J5" s="204">
        <f t="shared" ref="J5:J39" si="4">F5/$B5</f>
        <v>0.10590321763364581</v>
      </c>
      <c r="K5" s="204">
        <f>B5/$B$4</f>
        <v>0.15249980681554748</v>
      </c>
      <c r="L5" s="204">
        <f t="shared" ref="L5:L7" si="5">K5</f>
        <v>0.15249980681554748</v>
      </c>
    </row>
    <row r="6" spans="1:12" ht="24.75" customHeight="1">
      <c r="A6" s="130" t="s">
        <v>227</v>
      </c>
      <c r="B6" s="106">
        <v>794000</v>
      </c>
      <c r="C6" s="11">
        <v>345000</v>
      </c>
      <c r="D6" s="11">
        <v>298000</v>
      </c>
      <c r="E6" s="11">
        <v>25000</v>
      </c>
      <c r="F6" s="11">
        <v>126000</v>
      </c>
      <c r="G6" s="204">
        <f t="shared" si="1"/>
        <v>0.4345088161209068</v>
      </c>
      <c r="H6" s="204">
        <f t="shared" si="2"/>
        <v>0.37531486146095716</v>
      </c>
      <c r="I6" s="204">
        <f t="shared" si="3"/>
        <v>3.1486146095717885E-2</v>
      </c>
      <c r="J6" s="204">
        <f t="shared" si="4"/>
        <v>0.15869017632241814</v>
      </c>
      <c r="K6" s="204">
        <f t="shared" ref="K6:K69" si="6">B6/$B$4</f>
        <v>1.5338845529711769E-2</v>
      </c>
      <c r="L6" s="204">
        <f t="shared" si="5"/>
        <v>1.5338845529711769E-2</v>
      </c>
    </row>
    <row r="7" spans="1:12" ht="24.75" customHeight="1">
      <c r="A7" s="130" t="s">
        <v>228</v>
      </c>
      <c r="B7" s="106">
        <v>4031000</v>
      </c>
      <c r="C7" s="11">
        <v>3432000</v>
      </c>
      <c r="D7" s="11">
        <v>236000</v>
      </c>
      <c r="E7" s="11">
        <v>95000</v>
      </c>
      <c r="F7" s="11">
        <v>268000</v>
      </c>
      <c r="G7" s="204">
        <f t="shared" si="1"/>
        <v>0.85140163731084095</v>
      </c>
      <c r="H7" s="204">
        <f t="shared" si="2"/>
        <v>5.854626643512776E-2</v>
      </c>
      <c r="I7" s="204">
        <f t="shared" si="3"/>
        <v>2.356735301414041E-2</v>
      </c>
      <c r="J7" s="204">
        <f t="shared" si="4"/>
        <v>6.6484743239890842E-2</v>
      </c>
      <c r="K7" s="204">
        <f t="shared" si="6"/>
        <v>7.7872652808901946E-2</v>
      </c>
      <c r="L7" s="204">
        <f t="shared" si="5"/>
        <v>7.7872652808901946E-2</v>
      </c>
    </row>
    <row r="8" spans="1:12" ht="12.45" customHeight="1">
      <c r="A8" s="130" t="s">
        <v>229</v>
      </c>
      <c r="B8" s="105">
        <v>408000</v>
      </c>
      <c r="C8" s="9">
        <v>169000</v>
      </c>
      <c r="D8" s="9">
        <v>130000</v>
      </c>
      <c r="E8" s="9">
        <v>10000</v>
      </c>
      <c r="F8" s="9">
        <v>99000</v>
      </c>
      <c r="G8" s="204">
        <f t="shared" si="1"/>
        <v>0.41421568627450983</v>
      </c>
      <c r="H8" s="204">
        <f t="shared" si="2"/>
        <v>0.31862745098039214</v>
      </c>
      <c r="I8" s="204">
        <f t="shared" si="3"/>
        <v>2.4509803921568627E-2</v>
      </c>
      <c r="J8" s="204">
        <f t="shared" si="4"/>
        <v>0.24264705882352941</v>
      </c>
      <c r="K8" s="204">
        <f>(B8/$B$4)</f>
        <v>7.8819256626226717E-3</v>
      </c>
      <c r="L8" s="204">
        <f>K8*(-1)</f>
        <v>-7.8819256626226717E-3</v>
      </c>
    </row>
    <row r="9" spans="1:12" ht="12.45" customHeight="1">
      <c r="A9" s="130" t="s">
        <v>230</v>
      </c>
      <c r="B9" s="105">
        <v>712000</v>
      </c>
      <c r="C9" s="9">
        <v>257000</v>
      </c>
      <c r="D9" s="9">
        <v>270000</v>
      </c>
      <c r="E9" s="9">
        <v>71000</v>
      </c>
      <c r="F9" s="9">
        <v>114000</v>
      </c>
      <c r="G9" s="204">
        <f t="shared" si="1"/>
        <v>0.3609550561797753</v>
      </c>
      <c r="H9" s="204">
        <f t="shared" si="2"/>
        <v>0.3792134831460674</v>
      </c>
      <c r="I9" s="204">
        <f t="shared" si="3"/>
        <v>9.9719101123595499E-2</v>
      </c>
      <c r="J9" s="204">
        <f t="shared" si="4"/>
        <v>0.1601123595505618</v>
      </c>
      <c r="K9" s="204">
        <f t="shared" si="6"/>
        <v>1.3754733019086625E-2</v>
      </c>
      <c r="L9" s="204">
        <f>K9</f>
        <v>1.3754733019086625E-2</v>
      </c>
    </row>
    <row r="10" spans="1:12" ht="12.45" customHeight="1">
      <c r="A10" s="130" t="s">
        <v>231</v>
      </c>
      <c r="B10" s="105">
        <v>1949000</v>
      </c>
      <c r="C10" s="9">
        <v>1600000</v>
      </c>
      <c r="D10" s="9">
        <v>114000</v>
      </c>
      <c r="E10" s="9">
        <v>5000</v>
      </c>
      <c r="F10" s="9">
        <v>229000</v>
      </c>
      <c r="G10" s="204">
        <f t="shared" si="1"/>
        <v>0.8209338122113905</v>
      </c>
      <c r="H10" s="204">
        <f t="shared" si="2"/>
        <v>5.849153412006157E-2</v>
      </c>
      <c r="I10" s="204">
        <f t="shared" si="3"/>
        <v>2.5654181631605951E-3</v>
      </c>
      <c r="J10" s="204">
        <f t="shared" si="4"/>
        <v>0.11749615187275526</v>
      </c>
      <c r="K10" s="204">
        <f t="shared" si="6"/>
        <v>3.7651649795224479E-2</v>
      </c>
      <c r="L10" s="204">
        <f t="shared" ref="L10:L14" si="7">K10</f>
        <v>3.7651649795224479E-2</v>
      </c>
    </row>
    <row r="11" spans="1:12" ht="12.45" customHeight="1">
      <c r="A11" s="129" t="s">
        <v>175</v>
      </c>
      <c r="B11" s="105">
        <v>9522000</v>
      </c>
      <c r="C11" s="9">
        <v>6903000</v>
      </c>
      <c r="D11" s="9">
        <v>724000</v>
      </c>
      <c r="E11" s="9">
        <v>1159000</v>
      </c>
      <c r="F11" s="9">
        <v>736000</v>
      </c>
      <c r="G11" s="204">
        <f t="shared" si="1"/>
        <v>0.72495274102079399</v>
      </c>
      <c r="H11" s="204">
        <f t="shared" si="2"/>
        <v>7.6034446544843523E-2</v>
      </c>
      <c r="I11" s="204">
        <f t="shared" si="3"/>
        <v>0.12171812644402437</v>
      </c>
      <c r="J11" s="204">
        <f t="shared" si="4"/>
        <v>7.7294685990338161E-2</v>
      </c>
      <c r="K11" s="204">
        <f t="shared" si="6"/>
        <v>0.18395023568503208</v>
      </c>
      <c r="L11" s="204">
        <f t="shared" si="7"/>
        <v>0.18395023568503208</v>
      </c>
    </row>
    <row r="12" spans="1:12" ht="12.45" customHeight="1">
      <c r="A12" s="129" t="s">
        <v>176</v>
      </c>
      <c r="B12" s="105">
        <v>34349000</v>
      </c>
      <c r="C12" s="9">
        <v>23640000</v>
      </c>
      <c r="D12" s="9">
        <v>1570000</v>
      </c>
      <c r="E12" s="9">
        <v>5272000</v>
      </c>
      <c r="F12" s="9">
        <v>3867000</v>
      </c>
      <c r="G12" s="204">
        <f t="shared" si="1"/>
        <v>0.6882296427843605</v>
      </c>
      <c r="H12" s="204">
        <f t="shared" si="2"/>
        <v>4.5707298611313285E-2</v>
      </c>
      <c r="I12" s="204">
        <f t="shared" si="3"/>
        <v>0.15348336196104689</v>
      </c>
      <c r="J12" s="204">
        <f t="shared" si="4"/>
        <v>0.11257969664327928</v>
      </c>
      <c r="K12" s="204">
        <f t="shared" si="6"/>
        <v>0.66356927594467197</v>
      </c>
      <c r="L12" s="204">
        <f t="shared" si="7"/>
        <v>0.66356927594467197</v>
      </c>
    </row>
    <row r="13" spans="1:12" ht="12.45" customHeight="1">
      <c r="A13" s="125" t="s">
        <v>218</v>
      </c>
      <c r="B13" s="124">
        <v>31688000</v>
      </c>
      <c r="C13" s="119">
        <v>24232000</v>
      </c>
      <c r="D13" s="119">
        <v>1161000</v>
      </c>
      <c r="E13" s="119">
        <v>3044000</v>
      </c>
      <c r="F13" s="119">
        <v>3252000</v>
      </c>
      <c r="G13" s="279">
        <f t="shared" si="1"/>
        <v>0.76470588235294112</v>
      </c>
      <c r="H13" s="279">
        <f t="shared" si="2"/>
        <v>3.6638475132542286E-2</v>
      </c>
      <c r="I13" s="279">
        <f t="shared" si="3"/>
        <v>9.6061600605907599E-2</v>
      </c>
      <c r="J13" s="279">
        <f t="shared" si="4"/>
        <v>0.1026255995960616</v>
      </c>
      <c r="K13" s="279">
        <f t="shared" si="6"/>
        <v>0.61216289313036087</v>
      </c>
      <c r="L13" s="279">
        <f t="shared" si="7"/>
        <v>0.61216289313036087</v>
      </c>
    </row>
    <row r="14" spans="1:12" ht="12.45" customHeight="1">
      <c r="A14" s="120" t="s">
        <v>174</v>
      </c>
      <c r="B14" s="105">
        <v>4438000</v>
      </c>
      <c r="C14" s="9">
        <v>3635000</v>
      </c>
      <c r="D14" s="9">
        <v>293000</v>
      </c>
      <c r="E14" s="9">
        <v>66000</v>
      </c>
      <c r="F14" s="9">
        <v>444000</v>
      </c>
      <c r="G14" s="204">
        <f t="shared" si="1"/>
        <v>0.81906264082920233</v>
      </c>
      <c r="H14" s="204">
        <f t="shared" si="2"/>
        <v>6.6020730058584942E-2</v>
      </c>
      <c r="I14" s="204">
        <f t="shared" si="3"/>
        <v>1.4871563767462822E-2</v>
      </c>
      <c r="J14" s="204">
        <f t="shared" si="4"/>
        <v>0.10004506534474988</v>
      </c>
      <c r="K14" s="204">
        <f t="shared" si="6"/>
        <v>8.5735260026273089E-2</v>
      </c>
      <c r="L14" s="204">
        <f t="shared" si="7"/>
        <v>8.5735260026273089E-2</v>
      </c>
    </row>
    <row r="15" spans="1:12" ht="24.75" customHeight="1">
      <c r="A15" s="121" t="s">
        <v>227</v>
      </c>
      <c r="B15" s="106">
        <v>295000</v>
      </c>
      <c r="C15" s="11">
        <v>147000</v>
      </c>
      <c r="D15" s="11">
        <v>88000</v>
      </c>
      <c r="E15" s="11">
        <v>2000</v>
      </c>
      <c r="F15" s="11">
        <v>57000</v>
      </c>
      <c r="G15" s="204">
        <f t="shared" si="1"/>
        <v>0.49830508474576274</v>
      </c>
      <c r="H15" s="204">
        <f t="shared" si="2"/>
        <v>0.29830508474576273</v>
      </c>
      <c r="I15" s="204">
        <f t="shared" si="3"/>
        <v>6.7796610169491523E-3</v>
      </c>
      <c r="J15" s="204">
        <f t="shared" si="4"/>
        <v>0.19322033898305085</v>
      </c>
      <c r="K15" s="204">
        <f t="shared" si="6"/>
        <v>5.6989413492002164E-3</v>
      </c>
      <c r="L15" s="204">
        <f t="shared" ref="L15:L72" si="8">K15*(-1)</f>
        <v>-5.6989413492002164E-3</v>
      </c>
    </row>
    <row r="16" spans="1:12" ht="24.75" customHeight="1">
      <c r="A16" s="121" t="s">
        <v>228</v>
      </c>
      <c r="B16" s="106">
        <v>2574000</v>
      </c>
      <c r="C16" s="11">
        <v>2278000</v>
      </c>
      <c r="D16" s="11">
        <v>88000</v>
      </c>
      <c r="E16" s="11">
        <v>48000</v>
      </c>
      <c r="F16" s="11">
        <v>159000</v>
      </c>
      <c r="G16" s="204">
        <f t="shared" si="1"/>
        <v>0.88500388500388505</v>
      </c>
      <c r="H16" s="204">
        <f t="shared" si="2"/>
        <v>3.4188034188034191E-2</v>
      </c>
      <c r="I16" s="204">
        <f t="shared" si="3"/>
        <v>1.8648018648018648E-2</v>
      </c>
      <c r="J16" s="204">
        <f t="shared" si="4"/>
        <v>6.1771561771561768E-2</v>
      </c>
      <c r="K16" s="204">
        <f t="shared" si="6"/>
        <v>4.972567807742833E-2</v>
      </c>
      <c r="L16" s="204">
        <f>K16</f>
        <v>4.972567807742833E-2</v>
      </c>
    </row>
    <row r="17" spans="1:12" ht="12.45" customHeight="1">
      <c r="A17" s="194" t="s">
        <v>229</v>
      </c>
      <c r="B17" s="105">
        <v>177000</v>
      </c>
      <c r="C17" s="9">
        <v>87000</v>
      </c>
      <c r="D17" s="9">
        <v>33000</v>
      </c>
      <c r="E17" s="13" t="s">
        <v>191</v>
      </c>
      <c r="F17" s="9">
        <v>53000</v>
      </c>
      <c r="G17" s="204">
        <f t="shared" si="1"/>
        <v>0.49152542372881358</v>
      </c>
      <c r="H17" s="204">
        <f t="shared" si="2"/>
        <v>0.1864406779661017</v>
      </c>
      <c r="I17" s="204" t="e">
        <f t="shared" si="3"/>
        <v>#VALUE!</v>
      </c>
      <c r="J17" s="204">
        <f t="shared" si="4"/>
        <v>0.29943502824858759</v>
      </c>
      <c r="K17" s="204">
        <f t="shared" si="6"/>
        <v>3.41936480952013E-3</v>
      </c>
      <c r="L17" s="204">
        <f t="shared" si="8"/>
        <v>-3.41936480952013E-3</v>
      </c>
    </row>
    <row r="18" spans="1:12" ht="12.45" customHeight="1">
      <c r="A18" s="121" t="s">
        <v>230</v>
      </c>
      <c r="B18" s="105">
        <v>170000</v>
      </c>
      <c r="C18" s="9">
        <v>74000</v>
      </c>
      <c r="D18" s="9">
        <v>54000</v>
      </c>
      <c r="E18" s="9">
        <v>9000</v>
      </c>
      <c r="F18" s="9">
        <v>33000</v>
      </c>
      <c r="G18" s="204">
        <f t="shared" si="1"/>
        <v>0.43529411764705883</v>
      </c>
      <c r="H18" s="204">
        <f t="shared" si="2"/>
        <v>0.31764705882352939</v>
      </c>
      <c r="I18" s="204">
        <f t="shared" si="3"/>
        <v>5.2941176470588235E-2</v>
      </c>
      <c r="J18" s="204">
        <f t="shared" si="4"/>
        <v>0.19411764705882353</v>
      </c>
      <c r="K18" s="204">
        <f t="shared" si="6"/>
        <v>3.2841356927594467E-3</v>
      </c>
      <c r="L18" s="204">
        <f t="shared" si="8"/>
        <v>-3.2841356927594467E-3</v>
      </c>
    </row>
    <row r="19" spans="1:12" ht="12.45" customHeight="1">
      <c r="A19" s="121" t="s">
        <v>231</v>
      </c>
      <c r="B19" s="105">
        <v>1222000</v>
      </c>
      <c r="C19" s="9">
        <v>1049000</v>
      </c>
      <c r="D19" s="9">
        <v>30000</v>
      </c>
      <c r="E19" s="9">
        <v>2000</v>
      </c>
      <c r="F19" s="9">
        <v>141000</v>
      </c>
      <c r="G19" s="204">
        <f t="shared" si="1"/>
        <v>0.85842880523731591</v>
      </c>
      <c r="H19" s="204">
        <f t="shared" si="2"/>
        <v>2.4549918166939442E-2</v>
      </c>
      <c r="I19" s="204">
        <f t="shared" si="3"/>
        <v>1.6366612111292963E-3</v>
      </c>
      <c r="J19" s="204">
        <f t="shared" si="4"/>
        <v>0.11538461538461539</v>
      </c>
      <c r="K19" s="204">
        <f t="shared" si="6"/>
        <v>2.3607140097364965E-2</v>
      </c>
      <c r="L19" s="204">
        <f>K19</f>
        <v>2.3607140097364965E-2</v>
      </c>
    </row>
    <row r="20" spans="1:12" ht="12.45" customHeight="1">
      <c r="A20" s="120" t="s">
        <v>175</v>
      </c>
      <c r="B20" s="105">
        <v>5031000</v>
      </c>
      <c r="C20" s="9">
        <v>3901000</v>
      </c>
      <c r="D20" s="9">
        <v>252000</v>
      </c>
      <c r="E20" s="9">
        <v>497000</v>
      </c>
      <c r="F20" s="9">
        <v>382000</v>
      </c>
      <c r="G20" s="204">
        <f t="shared" si="1"/>
        <v>0.77539256609024054</v>
      </c>
      <c r="H20" s="204">
        <f t="shared" si="2"/>
        <v>5.008944543828265E-2</v>
      </c>
      <c r="I20" s="204">
        <f t="shared" si="3"/>
        <v>9.8787517392168553E-2</v>
      </c>
      <c r="J20" s="204">
        <f t="shared" si="4"/>
        <v>7.5929238719936398E-2</v>
      </c>
      <c r="K20" s="204">
        <f t="shared" si="6"/>
        <v>9.7191098060428097E-2</v>
      </c>
      <c r="L20" s="204">
        <f t="shared" ref="L20:L23" si="9">K20</f>
        <v>9.7191098060428097E-2</v>
      </c>
    </row>
    <row r="21" spans="1:12" ht="12.45" customHeight="1">
      <c r="A21" s="120" t="s">
        <v>176</v>
      </c>
      <c r="B21" s="105">
        <v>22219000</v>
      </c>
      <c r="C21" s="9">
        <v>16696000</v>
      </c>
      <c r="D21" s="9">
        <v>615000</v>
      </c>
      <c r="E21" s="9">
        <v>2481000</v>
      </c>
      <c r="F21" s="9">
        <v>2426000</v>
      </c>
      <c r="G21" s="204">
        <f t="shared" si="1"/>
        <v>0.75142895719879388</v>
      </c>
      <c r="H21" s="204">
        <f t="shared" si="2"/>
        <v>2.7679013456951257E-2</v>
      </c>
      <c r="I21" s="204">
        <f t="shared" si="3"/>
        <v>0.11166119087267654</v>
      </c>
      <c r="J21" s="204">
        <f t="shared" si="4"/>
        <v>0.10918583194563211</v>
      </c>
      <c r="K21" s="204">
        <f t="shared" si="6"/>
        <v>0.42923653504365966</v>
      </c>
      <c r="L21" s="204">
        <f t="shared" si="9"/>
        <v>0.42923653504365966</v>
      </c>
    </row>
    <row r="22" spans="1:12" ht="12.45" customHeight="1">
      <c r="A22" s="114" t="s">
        <v>219</v>
      </c>
      <c r="B22" s="144">
        <v>14688000</v>
      </c>
      <c r="C22" s="143">
        <v>8660000</v>
      </c>
      <c r="D22" s="143">
        <v>1092000</v>
      </c>
      <c r="E22" s="143">
        <v>3354000</v>
      </c>
      <c r="F22" s="143">
        <v>1582000</v>
      </c>
      <c r="G22" s="281">
        <f t="shared" si="1"/>
        <v>0.58959694989106759</v>
      </c>
      <c r="H22" s="281">
        <f t="shared" si="2"/>
        <v>7.4346405228758169E-2</v>
      </c>
      <c r="I22" s="281">
        <f t="shared" si="3"/>
        <v>0.22834967320261437</v>
      </c>
      <c r="J22" s="281">
        <f t="shared" si="4"/>
        <v>0.10770697167755991</v>
      </c>
      <c r="K22" s="281">
        <f t="shared" si="6"/>
        <v>0.2837493238544162</v>
      </c>
      <c r="L22" s="281">
        <f t="shared" si="9"/>
        <v>0.2837493238544162</v>
      </c>
    </row>
    <row r="23" spans="1:12" ht="12.45" customHeight="1">
      <c r="A23" s="115" t="s">
        <v>174</v>
      </c>
      <c r="B23" s="105">
        <v>2411000</v>
      </c>
      <c r="C23" s="9">
        <v>1712000</v>
      </c>
      <c r="D23" s="9">
        <v>300000</v>
      </c>
      <c r="E23" s="9">
        <v>106000</v>
      </c>
      <c r="F23" s="9">
        <v>293000</v>
      </c>
      <c r="G23" s="204">
        <f t="shared" si="1"/>
        <v>0.71007880547490665</v>
      </c>
      <c r="H23" s="204">
        <f t="shared" si="2"/>
        <v>0.1244296972210701</v>
      </c>
      <c r="I23" s="204">
        <f t="shared" si="3"/>
        <v>4.3965159684778099E-2</v>
      </c>
      <c r="J23" s="204">
        <f t="shared" si="4"/>
        <v>0.12152633761924513</v>
      </c>
      <c r="K23" s="204">
        <f t="shared" si="6"/>
        <v>4.6576771501429567E-2</v>
      </c>
      <c r="L23" s="204">
        <f t="shared" si="9"/>
        <v>4.6576771501429567E-2</v>
      </c>
    </row>
    <row r="24" spans="1:12" ht="24.75" customHeight="1">
      <c r="A24" s="116" t="s">
        <v>227</v>
      </c>
      <c r="B24" s="106">
        <v>188000</v>
      </c>
      <c r="C24" s="11">
        <v>81000</v>
      </c>
      <c r="D24" s="11">
        <v>55000</v>
      </c>
      <c r="E24" s="11">
        <v>14000</v>
      </c>
      <c r="F24" s="11">
        <v>39000</v>
      </c>
      <c r="G24" s="204">
        <f t="shared" si="1"/>
        <v>0.43085106382978722</v>
      </c>
      <c r="H24" s="204">
        <f t="shared" si="2"/>
        <v>0.29255319148936171</v>
      </c>
      <c r="I24" s="204">
        <f t="shared" si="3"/>
        <v>7.4468085106382975E-2</v>
      </c>
      <c r="J24" s="204">
        <f t="shared" si="4"/>
        <v>0.20744680851063829</v>
      </c>
      <c r="K24" s="204">
        <f t="shared" si="6"/>
        <v>3.6318677072869174E-3</v>
      </c>
      <c r="L24" s="204">
        <f t="shared" si="8"/>
        <v>-3.6318677072869174E-3</v>
      </c>
    </row>
    <row r="25" spans="1:12" ht="24.75" customHeight="1">
      <c r="A25" s="116" t="s">
        <v>228</v>
      </c>
      <c r="B25" s="106">
        <v>1251000</v>
      </c>
      <c r="C25" s="11">
        <v>1023000</v>
      </c>
      <c r="D25" s="11">
        <v>86000</v>
      </c>
      <c r="E25" s="11">
        <v>43000</v>
      </c>
      <c r="F25" s="11">
        <v>100000</v>
      </c>
      <c r="G25" s="204">
        <f t="shared" si="1"/>
        <v>0.81774580335731417</v>
      </c>
      <c r="H25" s="204">
        <f t="shared" si="2"/>
        <v>6.8745003996802556E-2</v>
      </c>
      <c r="I25" s="204">
        <f t="shared" si="3"/>
        <v>3.4372501998401278E-2</v>
      </c>
      <c r="J25" s="204">
        <f t="shared" si="4"/>
        <v>7.9936051159072735E-2</v>
      </c>
      <c r="K25" s="204">
        <f t="shared" si="6"/>
        <v>2.4167375009659223E-2</v>
      </c>
      <c r="L25" s="204">
        <f>K25</f>
        <v>2.4167375009659223E-2</v>
      </c>
    </row>
    <row r="26" spans="1:12" ht="12.45" customHeight="1">
      <c r="A26" s="145" t="s">
        <v>229</v>
      </c>
      <c r="B26" s="105">
        <v>105000</v>
      </c>
      <c r="C26" s="9">
        <v>44000</v>
      </c>
      <c r="D26" s="9">
        <v>33000</v>
      </c>
      <c r="E26" s="9">
        <v>4000</v>
      </c>
      <c r="F26" s="9">
        <v>24000</v>
      </c>
      <c r="G26" s="204">
        <f t="shared" si="1"/>
        <v>0.41904761904761906</v>
      </c>
      <c r="H26" s="204">
        <f t="shared" si="2"/>
        <v>0.31428571428571428</v>
      </c>
      <c r="I26" s="204">
        <f t="shared" si="3"/>
        <v>3.8095238095238099E-2</v>
      </c>
      <c r="J26" s="204">
        <f t="shared" si="4"/>
        <v>0.22857142857142856</v>
      </c>
      <c r="K26" s="204">
        <f t="shared" si="6"/>
        <v>2.0284367514102463E-3</v>
      </c>
      <c r="L26" s="204">
        <f t="shared" si="8"/>
        <v>-2.0284367514102463E-3</v>
      </c>
    </row>
    <row r="27" spans="1:12" ht="12.45" customHeight="1">
      <c r="A27" s="116" t="s">
        <v>230</v>
      </c>
      <c r="B27" s="105">
        <v>283000</v>
      </c>
      <c r="C27" s="9">
        <v>96000</v>
      </c>
      <c r="D27" s="9">
        <v>89000</v>
      </c>
      <c r="E27" s="9">
        <v>44000</v>
      </c>
      <c r="F27" s="9">
        <v>53000</v>
      </c>
      <c r="G27" s="204">
        <f t="shared" si="1"/>
        <v>0.33922261484098942</v>
      </c>
      <c r="H27" s="204">
        <f t="shared" si="2"/>
        <v>0.31448763250883394</v>
      </c>
      <c r="I27" s="204">
        <f t="shared" si="3"/>
        <v>0.15547703180212014</v>
      </c>
      <c r="J27" s="204">
        <f t="shared" si="4"/>
        <v>0.1872791519434629</v>
      </c>
      <c r="K27" s="204">
        <f t="shared" si="6"/>
        <v>5.4671200061819029E-3</v>
      </c>
      <c r="L27" s="204">
        <f t="shared" si="8"/>
        <v>-5.4671200061819029E-3</v>
      </c>
    </row>
    <row r="28" spans="1:12" ht="12.45" customHeight="1">
      <c r="A28" s="116" t="s">
        <v>231</v>
      </c>
      <c r="B28" s="105">
        <v>584000</v>
      </c>
      <c r="C28" s="9">
        <v>468000</v>
      </c>
      <c r="D28" s="9">
        <v>37000</v>
      </c>
      <c r="E28" s="9">
        <v>2000</v>
      </c>
      <c r="F28" s="9">
        <v>77000</v>
      </c>
      <c r="G28" s="204">
        <f t="shared" si="1"/>
        <v>0.80136986301369861</v>
      </c>
      <c r="H28" s="204">
        <f t="shared" si="2"/>
        <v>6.3356164383561647E-2</v>
      </c>
      <c r="I28" s="204">
        <f t="shared" si="3"/>
        <v>3.4246575342465752E-3</v>
      </c>
      <c r="J28" s="204">
        <f t="shared" si="4"/>
        <v>0.13184931506849315</v>
      </c>
      <c r="K28" s="204">
        <f t="shared" si="6"/>
        <v>1.1281972026891275E-2</v>
      </c>
      <c r="L28" s="204">
        <f>K28</f>
        <v>1.1281972026891275E-2</v>
      </c>
    </row>
    <row r="29" spans="1:12" ht="12.45" customHeight="1">
      <c r="A29" s="115" t="s">
        <v>175</v>
      </c>
      <c r="B29" s="105">
        <v>2578000</v>
      </c>
      <c r="C29" s="9">
        <v>1556000</v>
      </c>
      <c r="D29" s="9">
        <v>163000</v>
      </c>
      <c r="E29" s="9">
        <v>619000</v>
      </c>
      <c r="F29" s="9">
        <v>239000</v>
      </c>
      <c r="G29" s="204">
        <f t="shared" si="1"/>
        <v>0.60356865787432112</v>
      </c>
      <c r="H29" s="204">
        <f t="shared" si="2"/>
        <v>6.3227307990690457E-2</v>
      </c>
      <c r="I29" s="204">
        <f t="shared" si="3"/>
        <v>0.24010861132660977</v>
      </c>
      <c r="J29" s="204">
        <f t="shared" si="4"/>
        <v>9.2707525213343675E-2</v>
      </c>
      <c r="K29" s="204">
        <f t="shared" si="6"/>
        <v>4.9802951858434433E-2</v>
      </c>
      <c r="L29" s="204">
        <f t="shared" ref="L29:L32" si="10">K29</f>
        <v>4.9802951858434433E-2</v>
      </c>
    </row>
    <row r="30" spans="1:12" ht="12.45" customHeight="1">
      <c r="A30" s="115" t="s">
        <v>176</v>
      </c>
      <c r="B30" s="105">
        <v>9699000</v>
      </c>
      <c r="C30" s="9">
        <v>5391000</v>
      </c>
      <c r="D30" s="9">
        <v>629000</v>
      </c>
      <c r="E30" s="9">
        <v>2630000</v>
      </c>
      <c r="F30" s="9">
        <v>1049000</v>
      </c>
      <c r="G30" s="204">
        <f t="shared" si="1"/>
        <v>0.55583049798948347</v>
      </c>
      <c r="H30" s="204">
        <f t="shared" si="2"/>
        <v>6.4852046602742547E-2</v>
      </c>
      <c r="I30" s="204">
        <f t="shared" si="3"/>
        <v>0.27116197546138776</v>
      </c>
      <c r="J30" s="204">
        <f t="shared" si="4"/>
        <v>0.10815547994638623</v>
      </c>
      <c r="K30" s="204">
        <f t="shared" si="6"/>
        <v>0.1873696004945522</v>
      </c>
      <c r="L30" s="204">
        <f t="shared" si="10"/>
        <v>0.1873696004945522</v>
      </c>
    </row>
    <row r="31" spans="1:12" ht="12.45" customHeight="1">
      <c r="A31" s="135" t="s">
        <v>221</v>
      </c>
      <c r="B31" s="136">
        <v>2141000</v>
      </c>
      <c r="C31" s="137">
        <v>995000</v>
      </c>
      <c r="D31" s="137">
        <v>808000</v>
      </c>
      <c r="E31" s="137">
        <v>173000</v>
      </c>
      <c r="F31" s="137">
        <v>165000</v>
      </c>
      <c r="G31" s="283">
        <f t="shared" si="1"/>
        <v>0.4647361046240075</v>
      </c>
      <c r="H31" s="283">
        <f t="shared" si="2"/>
        <v>0.3773937412424101</v>
      </c>
      <c r="I31" s="283">
        <f t="shared" si="3"/>
        <v>8.0803362914525917E-2</v>
      </c>
      <c r="J31" s="283">
        <f t="shared" si="4"/>
        <v>7.7066791219056519E-2</v>
      </c>
      <c r="K31" s="283">
        <f t="shared" si="6"/>
        <v>4.1360791283517502E-2</v>
      </c>
      <c r="L31" s="283">
        <f t="shared" si="10"/>
        <v>4.1360791283517502E-2</v>
      </c>
    </row>
    <row r="32" spans="1:12" ht="12.45" customHeight="1">
      <c r="A32" s="138" t="s">
        <v>174</v>
      </c>
      <c r="B32" s="105">
        <v>962000</v>
      </c>
      <c r="C32" s="9">
        <v>410000</v>
      </c>
      <c r="D32" s="9">
        <v>436000</v>
      </c>
      <c r="E32" s="9">
        <v>31000</v>
      </c>
      <c r="F32" s="9">
        <v>86000</v>
      </c>
      <c r="G32" s="204">
        <f t="shared" si="1"/>
        <v>0.42619542619542622</v>
      </c>
      <c r="H32" s="204">
        <f t="shared" si="2"/>
        <v>0.45322245322245325</v>
      </c>
      <c r="I32" s="204">
        <f t="shared" si="3"/>
        <v>3.2224532224532226E-2</v>
      </c>
      <c r="J32" s="204">
        <f t="shared" si="4"/>
        <v>8.9397089397089402E-2</v>
      </c>
      <c r="K32" s="204">
        <f t="shared" si="6"/>
        <v>1.8584344331968164E-2</v>
      </c>
      <c r="L32" s="204">
        <f t="shared" si="10"/>
        <v>1.8584344331968164E-2</v>
      </c>
    </row>
    <row r="33" spans="1:12" ht="24.75" customHeight="1">
      <c r="A33" s="139" t="s">
        <v>227</v>
      </c>
      <c r="B33" s="106">
        <v>291000</v>
      </c>
      <c r="C33" s="11">
        <v>112000</v>
      </c>
      <c r="D33" s="11">
        <v>144000</v>
      </c>
      <c r="E33" s="11">
        <v>7000</v>
      </c>
      <c r="F33" s="11">
        <v>28000</v>
      </c>
      <c r="G33" s="204">
        <f t="shared" si="1"/>
        <v>0.38487972508591067</v>
      </c>
      <c r="H33" s="204">
        <f t="shared" si="2"/>
        <v>0.49484536082474229</v>
      </c>
      <c r="I33" s="204">
        <f t="shared" si="3"/>
        <v>2.4054982817869417E-2</v>
      </c>
      <c r="J33" s="204">
        <f t="shared" si="4"/>
        <v>9.6219931271477668E-2</v>
      </c>
      <c r="K33" s="204">
        <f t="shared" si="6"/>
        <v>5.6216675681941119E-3</v>
      </c>
      <c r="L33" s="204">
        <f t="shared" si="8"/>
        <v>-5.6216675681941119E-3</v>
      </c>
    </row>
    <row r="34" spans="1:12" ht="24.75" customHeight="1">
      <c r="A34" s="139" t="s">
        <v>228</v>
      </c>
      <c r="B34" s="106">
        <v>185000</v>
      </c>
      <c r="C34" s="11">
        <v>111000</v>
      </c>
      <c r="D34" s="11">
        <v>61000</v>
      </c>
      <c r="E34" s="11">
        <v>4000</v>
      </c>
      <c r="F34" s="11">
        <v>8000</v>
      </c>
      <c r="G34" s="204">
        <f t="shared" si="1"/>
        <v>0.6</v>
      </c>
      <c r="H34" s="204">
        <f t="shared" si="2"/>
        <v>0.32972972972972975</v>
      </c>
      <c r="I34" s="204">
        <f t="shared" si="3"/>
        <v>2.1621621621621623E-2</v>
      </c>
      <c r="J34" s="204">
        <f t="shared" si="4"/>
        <v>4.3243243243243246E-2</v>
      </c>
      <c r="K34" s="204">
        <f t="shared" si="6"/>
        <v>3.573912371532339E-3</v>
      </c>
      <c r="L34" s="204">
        <f t="shared" si="8"/>
        <v>-3.573912371532339E-3</v>
      </c>
    </row>
    <row r="35" spans="1:12" ht="12.45" customHeight="1">
      <c r="A35" s="148" t="s">
        <v>229</v>
      </c>
      <c r="B35" s="105">
        <v>125000</v>
      </c>
      <c r="C35" s="9">
        <v>37000</v>
      </c>
      <c r="D35" s="9">
        <v>64000</v>
      </c>
      <c r="E35" s="9">
        <v>3000</v>
      </c>
      <c r="F35" s="9">
        <v>21000</v>
      </c>
      <c r="G35" s="204">
        <f t="shared" si="1"/>
        <v>0.29599999999999999</v>
      </c>
      <c r="H35" s="204">
        <f t="shared" si="2"/>
        <v>0.51200000000000001</v>
      </c>
      <c r="I35" s="204">
        <f t="shared" si="3"/>
        <v>2.4E-2</v>
      </c>
      <c r="J35" s="204">
        <f t="shared" si="4"/>
        <v>0.16800000000000001</v>
      </c>
      <c r="K35" s="204">
        <f t="shared" si="6"/>
        <v>2.4148056564407697E-3</v>
      </c>
      <c r="L35" s="204">
        <f t="shared" si="8"/>
        <v>-2.4148056564407697E-3</v>
      </c>
    </row>
    <row r="36" spans="1:12" ht="12.45" customHeight="1">
      <c r="A36" s="139" t="s">
        <v>230</v>
      </c>
      <c r="B36" s="105">
        <v>221000</v>
      </c>
      <c r="C36" s="9">
        <v>67000</v>
      </c>
      <c r="D36" s="9">
        <v>120000</v>
      </c>
      <c r="E36" s="9">
        <v>16000</v>
      </c>
      <c r="F36" s="9">
        <v>18000</v>
      </c>
      <c r="G36" s="204">
        <f t="shared" si="1"/>
        <v>0.30316742081447962</v>
      </c>
      <c r="H36" s="204">
        <f t="shared" si="2"/>
        <v>0.54298642533936647</v>
      </c>
      <c r="I36" s="204">
        <f t="shared" si="3"/>
        <v>7.2398190045248875E-2</v>
      </c>
      <c r="J36" s="204">
        <f t="shared" si="4"/>
        <v>8.1447963800904979E-2</v>
      </c>
      <c r="K36" s="204">
        <f t="shared" si="6"/>
        <v>4.2693764005872804E-3</v>
      </c>
      <c r="L36" s="204">
        <f t="shared" si="8"/>
        <v>-4.2693764005872804E-3</v>
      </c>
    </row>
    <row r="37" spans="1:12" ht="12.45" customHeight="1">
      <c r="A37" s="139" t="s">
        <v>231</v>
      </c>
      <c r="B37" s="105">
        <v>141000</v>
      </c>
      <c r="C37" s="9">
        <v>83000</v>
      </c>
      <c r="D37" s="9">
        <v>46000</v>
      </c>
      <c r="E37" s="9">
        <v>1000</v>
      </c>
      <c r="F37" s="9">
        <v>10000</v>
      </c>
      <c r="G37" s="204">
        <f t="shared" si="1"/>
        <v>0.58865248226950351</v>
      </c>
      <c r="H37" s="204">
        <f t="shared" si="2"/>
        <v>0.32624113475177308</v>
      </c>
      <c r="I37" s="204">
        <f t="shared" si="3"/>
        <v>7.0921985815602835E-3</v>
      </c>
      <c r="J37" s="204">
        <f t="shared" si="4"/>
        <v>7.0921985815602842E-2</v>
      </c>
      <c r="K37" s="204">
        <f t="shared" si="6"/>
        <v>2.7239007804651882E-3</v>
      </c>
      <c r="L37" s="204">
        <f t="shared" si="8"/>
        <v>-2.7239007804651882E-3</v>
      </c>
    </row>
    <row r="38" spans="1:12" ht="12.45" customHeight="1">
      <c r="A38" s="138" t="s">
        <v>175</v>
      </c>
      <c r="B38" s="105">
        <v>374000</v>
      </c>
      <c r="C38" s="9">
        <v>216000</v>
      </c>
      <c r="D38" s="9">
        <v>90000</v>
      </c>
      <c r="E38" s="9">
        <v>32000</v>
      </c>
      <c r="F38" s="9">
        <v>36000</v>
      </c>
      <c r="G38" s="204">
        <f t="shared" si="1"/>
        <v>0.57754010695187163</v>
      </c>
      <c r="H38" s="204">
        <f t="shared" si="2"/>
        <v>0.24064171122994651</v>
      </c>
      <c r="I38" s="204">
        <f t="shared" si="3"/>
        <v>8.5561497326203204E-2</v>
      </c>
      <c r="J38" s="204">
        <f t="shared" si="4"/>
        <v>9.6256684491978606E-2</v>
      </c>
      <c r="K38" s="204">
        <f t="shared" si="6"/>
        <v>7.2250985240707825E-3</v>
      </c>
      <c r="L38" s="204">
        <f t="shared" si="8"/>
        <v>-7.2250985240707825E-3</v>
      </c>
    </row>
    <row r="39" spans="1:12" ht="12.45" customHeight="1">
      <c r="A39" s="138" t="s">
        <v>176</v>
      </c>
      <c r="B39" s="105">
        <v>805000</v>
      </c>
      <c r="C39" s="9">
        <v>369000</v>
      </c>
      <c r="D39" s="9">
        <v>282000</v>
      </c>
      <c r="E39" s="9">
        <v>110000</v>
      </c>
      <c r="F39" s="9">
        <v>44000</v>
      </c>
      <c r="G39" s="204">
        <f t="shared" si="1"/>
        <v>0.45838509316770187</v>
      </c>
      <c r="H39" s="204">
        <f t="shared" si="2"/>
        <v>0.35031055900621116</v>
      </c>
      <c r="I39" s="204">
        <f t="shared" si="3"/>
        <v>0.13664596273291926</v>
      </c>
      <c r="J39" s="204">
        <f t="shared" si="4"/>
        <v>5.46583850931677E-2</v>
      </c>
      <c r="K39" s="204">
        <f t="shared" si="6"/>
        <v>1.5551348427478557E-2</v>
      </c>
      <c r="L39" s="204">
        <f>K39</f>
        <v>1.5551348427478557E-2</v>
      </c>
    </row>
    <row r="40" spans="1:12" ht="12.45" customHeight="1">
      <c r="A40" s="111" t="s">
        <v>223</v>
      </c>
      <c r="B40" s="109">
        <v>3246000</v>
      </c>
      <c r="C40" s="104">
        <v>2459000</v>
      </c>
      <c r="D40" s="104">
        <v>281000</v>
      </c>
      <c r="E40" s="104">
        <v>66000</v>
      </c>
      <c r="F40" s="104">
        <v>440000</v>
      </c>
      <c r="G40" s="204"/>
      <c r="H40" s="204"/>
      <c r="I40" s="204"/>
      <c r="J40" s="204"/>
      <c r="L40" s="204"/>
    </row>
    <row r="41" spans="1:12" ht="12.45" customHeight="1">
      <c r="A41" s="112" t="s">
        <v>174</v>
      </c>
      <c r="B41" s="105">
        <v>82000</v>
      </c>
      <c r="C41" s="9">
        <v>47000</v>
      </c>
      <c r="D41" s="9">
        <v>18000</v>
      </c>
      <c r="E41" s="9">
        <v>4000</v>
      </c>
      <c r="F41" s="9">
        <v>13000</v>
      </c>
      <c r="G41" s="204"/>
      <c r="H41" s="204"/>
      <c r="I41" s="204"/>
      <c r="J41" s="204"/>
      <c r="L41" s="204"/>
    </row>
    <row r="42" spans="1:12" ht="12.45" customHeight="1">
      <c r="A42" s="112" t="s">
        <v>175</v>
      </c>
      <c r="B42" s="105">
        <v>1538000</v>
      </c>
      <c r="C42" s="9">
        <v>1230000</v>
      </c>
      <c r="D42" s="9">
        <v>218000</v>
      </c>
      <c r="E42" s="9">
        <v>11000</v>
      </c>
      <c r="F42" s="9">
        <v>79000</v>
      </c>
      <c r="G42" s="204"/>
      <c r="H42" s="204"/>
      <c r="I42" s="204"/>
      <c r="J42" s="204"/>
      <c r="L42" s="204"/>
    </row>
    <row r="43" spans="1:12" ht="12.45" customHeight="1">
      <c r="A43" s="112" t="s">
        <v>176</v>
      </c>
      <c r="B43" s="105">
        <v>1626000</v>
      </c>
      <c r="C43" s="9">
        <v>1183000</v>
      </c>
      <c r="D43" s="9">
        <v>44000</v>
      </c>
      <c r="E43" s="9">
        <v>51000</v>
      </c>
      <c r="F43" s="9">
        <v>347000</v>
      </c>
      <c r="G43" s="204"/>
      <c r="H43" s="204"/>
      <c r="I43" s="204"/>
      <c r="J43" s="204"/>
      <c r="L43" s="204"/>
    </row>
    <row r="44" spans="1:12" ht="24.75" customHeight="1">
      <c r="A44" s="129" t="s">
        <v>592</v>
      </c>
      <c r="B44" s="197">
        <v>9311000</v>
      </c>
      <c r="C44" s="198">
        <v>7028000</v>
      </c>
      <c r="D44" s="198">
        <v>831000</v>
      </c>
      <c r="E44" s="198">
        <v>642000</v>
      </c>
      <c r="F44" s="198">
        <v>811000</v>
      </c>
      <c r="G44" s="277">
        <f t="shared" ref="G44:G45" si="11">C44/$B44</f>
        <v>0.75480614327139939</v>
      </c>
      <c r="H44" s="277">
        <f t="shared" ref="H44:J56" si="12">D44/$B44</f>
        <v>8.9249275051014931E-2</v>
      </c>
      <c r="I44" s="277">
        <f t="shared" ref="I44:I45" si="13">E44/$B44</f>
        <v>6.8950703469015148E-2</v>
      </c>
      <c r="J44" s="277">
        <f t="shared" ref="J44:J45" si="14">F44/$B44</f>
        <v>8.7101278058210718E-2</v>
      </c>
      <c r="K44" s="204">
        <f t="shared" si="6"/>
        <v>0.17987404373696006</v>
      </c>
      <c r="L44" s="277">
        <f>K44</f>
        <v>0.17987404373696006</v>
      </c>
    </row>
    <row r="45" spans="1:12" ht="12.45" customHeight="1">
      <c r="A45" s="130" t="s">
        <v>174</v>
      </c>
      <c r="B45" s="105">
        <v>2261000</v>
      </c>
      <c r="C45" s="9">
        <v>1697000</v>
      </c>
      <c r="D45" s="9">
        <v>388000</v>
      </c>
      <c r="E45" s="9">
        <v>28000</v>
      </c>
      <c r="F45" s="9">
        <v>149000</v>
      </c>
      <c r="G45" s="204">
        <f t="shared" si="11"/>
        <v>0.75055285272003536</v>
      </c>
      <c r="H45" s="204">
        <f t="shared" si="12"/>
        <v>0.17160548429898276</v>
      </c>
      <c r="I45" s="204">
        <f t="shared" si="13"/>
        <v>1.238390092879257E-2</v>
      </c>
      <c r="J45" s="204">
        <f t="shared" si="14"/>
        <v>6.5900044228217602E-2</v>
      </c>
      <c r="K45" s="204">
        <f t="shared" si="6"/>
        <v>4.3679004713700641E-2</v>
      </c>
      <c r="L45" s="204">
        <f>K45</f>
        <v>4.3679004713700641E-2</v>
      </c>
    </row>
    <row r="46" spans="1:12">
      <c r="A46" s="131" t="s">
        <v>227</v>
      </c>
      <c r="B46" s="142">
        <v>246000</v>
      </c>
      <c r="C46" s="29">
        <v>105000</v>
      </c>
      <c r="D46" s="29">
        <v>114000</v>
      </c>
      <c r="E46" s="29">
        <v>3000</v>
      </c>
      <c r="F46" s="29">
        <v>24000</v>
      </c>
      <c r="G46" s="204">
        <f>C46/$B46</f>
        <v>0.42682926829268292</v>
      </c>
      <c r="H46" s="204">
        <f t="shared" si="12"/>
        <v>0.46341463414634149</v>
      </c>
      <c r="I46" s="204">
        <f t="shared" si="12"/>
        <v>1.2195121951219513E-2</v>
      </c>
      <c r="J46" s="204">
        <f t="shared" si="12"/>
        <v>9.7560975609756101E-2</v>
      </c>
      <c r="K46" s="204">
        <f t="shared" si="6"/>
        <v>4.7523375318754349E-3</v>
      </c>
      <c r="L46" s="204">
        <f t="shared" si="8"/>
        <v>-4.7523375318754349E-3</v>
      </c>
    </row>
    <row r="47" spans="1:12">
      <c r="A47" s="131" t="s">
        <v>228</v>
      </c>
      <c r="B47" s="106">
        <v>1325000</v>
      </c>
      <c r="C47" s="11">
        <v>1173000</v>
      </c>
      <c r="D47" s="11">
        <v>83000</v>
      </c>
      <c r="E47" s="11">
        <v>15000</v>
      </c>
      <c r="F47" s="11">
        <v>54000</v>
      </c>
      <c r="G47" s="204">
        <f t="shared" ref="G47:J86" si="15">C47/$B47</f>
        <v>0.88528301886792449</v>
      </c>
      <c r="H47" s="204">
        <f t="shared" si="12"/>
        <v>6.2641509433962267E-2</v>
      </c>
      <c r="I47" s="204">
        <f t="shared" si="12"/>
        <v>1.1320754716981131E-2</v>
      </c>
      <c r="J47" s="204">
        <f t="shared" si="12"/>
        <v>4.0754716981132075E-2</v>
      </c>
      <c r="K47" s="204">
        <f t="shared" si="6"/>
        <v>2.5596939958272159E-2</v>
      </c>
      <c r="L47" s="204">
        <f>K47</f>
        <v>2.5596939958272159E-2</v>
      </c>
    </row>
    <row r="48" spans="1:12">
      <c r="A48" s="131" t="s">
        <v>229</v>
      </c>
      <c r="B48" s="105">
        <v>99000</v>
      </c>
      <c r="C48" s="9">
        <v>29000</v>
      </c>
      <c r="D48" s="9">
        <v>59000</v>
      </c>
      <c r="E48" s="9">
        <v>1000</v>
      </c>
      <c r="F48" s="9">
        <v>11000</v>
      </c>
      <c r="G48" s="204">
        <f t="shared" si="15"/>
        <v>0.29292929292929293</v>
      </c>
      <c r="H48" s="204">
        <f t="shared" si="12"/>
        <v>0.59595959595959591</v>
      </c>
      <c r="I48" s="204">
        <f t="shared" si="12"/>
        <v>1.0101010101010102E-2</v>
      </c>
      <c r="J48" s="204">
        <f t="shared" si="12"/>
        <v>0.1111111111111111</v>
      </c>
      <c r="K48" s="204">
        <f t="shared" si="6"/>
        <v>1.9125260799010895E-3</v>
      </c>
      <c r="L48" s="204">
        <f t="shared" si="8"/>
        <v>-1.9125260799010895E-3</v>
      </c>
    </row>
    <row r="49" spans="1:12">
      <c r="A49" s="131" t="s">
        <v>230</v>
      </c>
      <c r="B49" s="105">
        <v>129000</v>
      </c>
      <c r="C49" s="9">
        <v>37000</v>
      </c>
      <c r="D49" s="9">
        <v>71000</v>
      </c>
      <c r="E49" s="9">
        <v>7000</v>
      </c>
      <c r="F49" s="9">
        <v>14000</v>
      </c>
      <c r="G49" s="204">
        <f t="shared" si="15"/>
        <v>0.2868217054263566</v>
      </c>
      <c r="H49" s="204">
        <f t="shared" si="12"/>
        <v>0.55038759689922478</v>
      </c>
      <c r="I49" s="204">
        <f t="shared" si="12"/>
        <v>5.4263565891472867E-2</v>
      </c>
      <c r="J49" s="204">
        <f t="shared" si="12"/>
        <v>0.10852713178294573</v>
      </c>
      <c r="K49" s="204">
        <f t="shared" si="6"/>
        <v>2.4920794374468742E-3</v>
      </c>
      <c r="L49" s="204">
        <f t="shared" si="8"/>
        <v>-2.4920794374468742E-3</v>
      </c>
    </row>
    <row r="50" spans="1:12">
      <c r="A50" s="131" t="s">
        <v>231</v>
      </c>
      <c r="B50" s="105">
        <v>462000</v>
      </c>
      <c r="C50" s="9">
        <v>353000</v>
      </c>
      <c r="D50" s="9">
        <v>62000</v>
      </c>
      <c r="E50" s="9">
        <v>1000</v>
      </c>
      <c r="F50" s="9">
        <v>46000</v>
      </c>
      <c r="G50" s="204">
        <f t="shared" si="15"/>
        <v>0.76406926406926412</v>
      </c>
      <c r="H50" s="204">
        <f t="shared" si="12"/>
        <v>0.13419913419913421</v>
      </c>
      <c r="I50" s="204">
        <f t="shared" si="12"/>
        <v>2.1645021645021645E-3</v>
      </c>
      <c r="J50" s="204">
        <f t="shared" si="12"/>
        <v>9.9567099567099568E-2</v>
      </c>
      <c r="K50" s="204">
        <f t="shared" si="6"/>
        <v>8.9251217062050851E-3</v>
      </c>
      <c r="L50" s="204">
        <f t="shared" si="8"/>
        <v>-8.9251217062050851E-3</v>
      </c>
    </row>
    <row r="51" spans="1:12">
      <c r="A51" s="130" t="s">
        <v>175</v>
      </c>
      <c r="B51" s="105">
        <v>1930000</v>
      </c>
      <c r="C51" s="9">
        <v>1517000</v>
      </c>
      <c r="D51" s="9">
        <v>188000</v>
      </c>
      <c r="E51" s="9">
        <v>74000</v>
      </c>
      <c r="F51" s="9">
        <v>152000</v>
      </c>
      <c r="G51" s="204">
        <f t="shared" si="15"/>
        <v>0.78601036269430047</v>
      </c>
      <c r="H51" s="204">
        <f t="shared" si="12"/>
        <v>9.7409326424870463E-2</v>
      </c>
      <c r="I51" s="204">
        <f t="shared" si="12"/>
        <v>3.8341968911917101E-2</v>
      </c>
      <c r="J51" s="204">
        <f t="shared" si="12"/>
        <v>7.8756476683937829E-2</v>
      </c>
      <c r="K51" s="204">
        <f t="shared" si="6"/>
        <v>3.7284599335445485E-2</v>
      </c>
      <c r="L51" s="204">
        <f>K51</f>
        <v>3.7284599335445485E-2</v>
      </c>
    </row>
    <row r="52" spans="1:12">
      <c r="A52" s="130" t="s">
        <v>176</v>
      </c>
      <c r="B52" s="105">
        <v>5120000</v>
      </c>
      <c r="C52" s="9">
        <v>3814000</v>
      </c>
      <c r="D52" s="9">
        <v>255000</v>
      </c>
      <c r="E52" s="9">
        <v>540000</v>
      </c>
      <c r="F52" s="9">
        <v>511000</v>
      </c>
      <c r="G52" s="204">
        <f t="shared" si="15"/>
        <v>0.74492187499999996</v>
      </c>
      <c r="H52" s="204">
        <f t="shared" si="12"/>
        <v>4.98046875E-2</v>
      </c>
      <c r="I52" s="204">
        <f t="shared" si="12"/>
        <v>0.10546875</v>
      </c>
      <c r="J52" s="204">
        <f t="shared" si="12"/>
        <v>9.9804687500000003E-2</v>
      </c>
      <c r="K52" s="204">
        <f t="shared" si="6"/>
        <v>9.891043968781392E-2</v>
      </c>
      <c r="L52" s="204">
        <f t="shared" ref="L52:L54" si="16">K52</f>
        <v>9.891043968781392E-2</v>
      </c>
    </row>
    <row r="53" spans="1:12">
      <c r="A53" s="120" t="s">
        <v>218</v>
      </c>
      <c r="B53" s="124">
        <v>5036000</v>
      </c>
      <c r="C53" s="119">
        <v>3977000</v>
      </c>
      <c r="D53" s="119">
        <v>233000</v>
      </c>
      <c r="E53" s="119">
        <v>345000</v>
      </c>
      <c r="F53" s="119">
        <v>481000</v>
      </c>
      <c r="G53" s="279">
        <f t="shared" si="15"/>
        <v>0.789714058776807</v>
      </c>
      <c r="H53" s="279">
        <f t="shared" si="12"/>
        <v>4.6266878474980143E-2</v>
      </c>
      <c r="I53" s="279">
        <f t="shared" si="12"/>
        <v>6.8506751389992057E-2</v>
      </c>
      <c r="J53" s="279">
        <f t="shared" si="12"/>
        <v>9.5512311358220817E-2</v>
      </c>
      <c r="K53" s="279">
        <f t="shared" si="6"/>
        <v>9.7287690286685727E-2</v>
      </c>
      <c r="L53" s="279">
        <f t="shared" si="16"/>
        <v>9.7287690286685727E-2</v>
      </c>
    </row>
    <row r="54" spans="1:12">
      <c r="A54" s="121" t="s">
        <v>174</v>
      </c>
      <c r="B54" s="105">
        <v>887000</v>
      </c>
      <c r="C54" s="9">
        <v>748000</v>
      </c>
      <c r="D54" s="9">
        <v>68000</v>
      </c>
      <c r="E54" s="9">
        <v>8000</v>
      </c>
      <c r="F54" s="9">
        <v>62000</v>
      </c>
      <c r="G54" s="204">
        <f t="shared" si="15"/>
        <v>0.84329199549041711</v>
      </c>
      <c r="H54" s="204">
        <f t="shared" si="12"/>
        <v>7.6662908680947009E-2</v>
      </c>
      <c r="I54" s="204">
        <f t="shared" si="12"/>
        <v>9.0191657271702363E-3</v>
      </c>
      <c r="J54" s="204">
        <f t="shared" si="12"/>
        <v>6.9898534385569339E-2</v>
      </c>
      <c r="K54" s="204">
        <f t="shared" si="6"/>
        <v>1.7135460938103701E-2</v>
      </c>
      <c r="L54" s="204">
        <f t="shared" si="16"/>
        <v>1.7135460938103701E-2</v>
      </c>
    </row>
    <row r="55" spans="1:12">
      <c r="A55" s="122" t="s">
        <v>227</v>
      </c>
      <c r="B55" s="106">
        <v>46000</v>
      </c>
      <c r="C55" s="11">
        <v>22000</v>
      </c>
      <c r="D55" s="11">
        <v>18000</v>
      </c>
      <c r="E55" s="16" t="s">
        <v>220</v>
      </c>
      <c r="F55" s="16" t="s">
        <v>191</v>
      </c>
      <c r="G55" s="204">
        <f t="shared" si="15"/>
        <v>0.47826086956521741</v>
      </c>
      <c r="H55" s="204">
        <f t="shared" si="12"/>
        <v>0.39130434782608697</v>
      </c>
      <c r="I55" s="204" t="e">
        <f t="shared" si="12"/>
        <v>#VALUE!</v>
      </c>
      <c r="J55" s="204" t="e">
        <f t="shared" si="12"/>
        <v>#VALUE!</v>
      </c>
      <c r="K55" s="204">
        <f t="shared" si="6"/>
        <v>8.8864848157020322E-4</v>
      </c>
      <c r="L55" s="204">
        <f t="shared" si="8"/>
        <v>-8.8864848157020322E-4</v>
      </c>
    </row>
    <row r="56" spans="1:12">
      <c r="A56" s="122" t="s">
        <v>228</v>
      </c>
      <c r="B56" s="106">
        <v>612000</v>
      </c>
      <c r="C56" s="11">
        <v>560000</v>
      </c>
      <c r="D56" s="11">
        <v>21000</v>
      </c>
      <c r="E56" s="11">
        <v>7000</v>
      </c>
      <c r="F56" s="11">
        <v>24000</v>
      </c>
      <c r="G56" s="204">
        <f t="shared" si="15"/>
        <v>0.91503267973856206</v>
      </c>
      <c r="H56" s="204">
        <f t="shared" si="12"/>
        <v>3.4313725490196081E-2</v>
      </c>
      <c r="I56" s="204">
        <f t="shared" si="12"/>
        <v>1.1437908496732025E-2</v>
      </c>
      <c r="J56" s="204">
        <f t="shared" si="12"/>
        <v>3.9215686274509803E-2</v>
      </c>
      <c r="K56" s="204">
        <f t="shared" si="6"/>
        <v>1.1822888493934008E-2</v>
      </c>
      <c r="L56" s="204">
        <f>K56</f>
        <v>1.1822888493934008E-2</v>
      </c>
    </row>
    <row r="57" spans="1:12">
      <c r="A57" s="195" t="s">
        <v>229</v>
      </c>
      <c r="B57" s="105">
        <v>20000</v>
      </c>
      <c r="C57" s="9">
        <v>7000</v>
      </c>
      <c r="D57" s="9">
        <v>10000</v>
      </c>
      <c r="E57" s="13" t="s">
        <v>220</v>
      </c>
      <c r="F57" s="9">
        <v>2000</v>
      </c>
      <c r="G57" s="204">
        <f t="shared" si="15"/>
        <v>0.35</v>
      </c>
      <c r="H57" s="204">
        <f t="shared" si="15"/>
        <v>0.5</v>
      </c>
      <c r="I57" s="204" t="e">
        <f t="shared" si="15"/>
        <v>#VALUE!</v>
      </c>
      <c r="J57" s="204">
        <f t="shared" si="15"/>
        <v>0.1</v>
      </c>
      <c r="K57" s="204">
        <f t="shared" si="6"/>
        <v>3.8636890503052312E-4</v>
      </c>
      <c r="L57" s="204">
        <f t="shared" si="8"/>
        <v>-3.8636890503052312E-4</v>
      </c>
    </row>
    <row r="58" spans="1:12">
      <c r="A58" s="122" t="s">
        <v>230</v>
      </c>
      <c r="B58" s="105">
        <v>22000</v>
      </c>
      <c r="C58" s="9">
        <v>7000</v>
      </c>
      <c r="D58" s="13" t="s">
        <v>191</v>
      </c>
      <c r="E58" s="13" t="s">
        <v>220</v>
      </c>
      <c r="F58" s="9">
        <v>7000</v>
      </c>
      <c r="G58" s="204">
        <f t="shared" si="15"/>
        <v>0.31818181818181818</v>
      </c>
      <c r="H58" s="204" t="e">
        <f t="shared" si="15"/>
        <v>#VALUE!</v>
      </c>
      <c r="I58" s="204" t="e">
        <f t="shared" si="15"/>
        <v>#VALUE!</v>
      </c>
      <c r="J58" s="204">
        <f t="shared" si="15"/>
        <v>0.31818181818181818</v>
      </c>
      <c r="K58" s="204">
        <f t="shared" si="6"/>
        <v>4.2500579553357543E-4</v>
      </c>
      <c r="L58" s="204">
        <f t="shared" si="8"/>
        <v>-4.2500579553357543E-4</v>
      </c>
    </row>
    <row r="59" spans="1:12">
      <c r="A59" s="122" t="s">
        <v>231</v>
      </c>
      <c r="B59" s="105">
        <v>187000</v>
      </c>
      <c r="C59" s="9">
        <v>152000</v>
      </c>
      <c r="D59" s="9">
        <v>12000</v>
      </c>
      <c r="E59" s="13" t="s">
        <v>220</v>
      </c>
      <c r="F59" s="9">
        <v>23000</v>
      </c>
      <c r="G59" s="204">
        <f t="shared" si="15"/>
        <v>0.81283422459893051</v>
      </c>
      <c r="H59" s="204">
        <f t="shared" si="15"/>
        <v>6.4171122994652413E-2</v>
      </c>
      <c r="I59" s="204" t="e">
        <f t="shared" si="15"/>
        <v>#VALUE!</v>
      </c>
      <c r="J59" s="204">
        <f t="shared" si="15"/>
        <v>0.12299465240641712</v>
      </c>
      <c r="K59" s="204">
        <f t="shared" si="6"/>
        <v>3.6125492620353913E-3</v>
      </c>
      <c r="L59" s="204">
        <f t="shared" si="8"/>
        <v>-3.6125492620353913E-3</v>
      </c>
    </row>
    <row r="60" spans="1:12">
      <c r="A60" s="121" t="s">
        <v>175</v>
      </c>
      <c r="B60" s="105">
        <v>981000</v>
      </c>
      <c r="C60" s="9">
        <v>804000</v>
      </c>
      <c r="D60" s="9">
        <v>62000</v>
      </c>
      <c r="E60" s="9">
        <v>34000</v>
      </c>
      <c r="F60" s="9">
        <v>82000</v>
      </c>
      <c r="G60" s="204">
        <f t="shared" si="15"/>
        <v>0.81957186544342508</v>
      </c>
      <c r="H60" s="204">
        <f t="shared" si="15"/>
        <v>6.3200815494393478E-2</v>
      </c>
      <c r="I60" s="204">
        <f t="shared" si="15"/>
        <v>3.4658511722731905E-2</v>
      </c>
      <c r="J60" s="204">
        <f t="shared" si="15"/>
        <v>8.3588175331294604E-2</v>
      </c>
      <c r="K60" s="204">
        <f t="shared" si="6"/>
        <v>1.8951394791747161E-2</v>
      </c>
      <c r="L60" s="204">
        <f>K60</f>
        <v>1.8951394791747161E-2</v>
      </c>
    </row>
    <row r="61" spans="1:12">
      <c r="A61" s="121" t="s">
        <v>176</v>
      </c>
      <c r="B61" s="105">
        <v>3168000</v>
      </c>
      <c r="C61" s="9">
        <v>2426000</v>
      </c>
      <c r="D61" s="9">
        <v>102000</v>
      </c>
      <c r="E61" s="9">
        <v>303000</v>
      </c>
      <c r="F61" s="9">
        <v>337000</v>
      </c>
      <c r="G61" s="204">
        <f t="shared" si="15"/>
        <v>0.76578282828282829</v>
      </c>
      <c r="H61" s="204">
        <f t="shared" si="15"/>
        <v>3.2196969696969696E-2</v>
      </c>
      <c r="I61" s="204">
        <f t="shared" si="15"/>
        <v>9.5643939393939392E-2</v>
      </c>
      <c r="J61" s="204">
        <f t="shared" si="15"/>
        <v>0.10637626262626262</v>
      </c>
      <c r="K61" s="204">
        <f t="shared" si="6"/>
        <v>6.1200834556834866E-2</v>
      </c>
      <c r="L61" s="204">
        <f t="shared" ref="L61:L63" si="17">K61</f>
        <v>6.1200834556834866E-2</v>
      </c>
    </row>
    <row r="62" spans="1:12">
      <c r="A62" s="115" t="s">
        <v>219</v>
      </c>
      <c r="B62" s="144">
        <v>2980000</v>
      </c>
      <c r="C62" s="143">
        <v>2232000</v>
      </c>
      <c r="D62" s="143">
        <v>244000</v>
      </c>
      <c r="E62" s="143">
        <v>264000</v>
      </c>
      <c r="F62" s="143">
        <v>240000</v>
      </c>
      <c r="G62" s="281">
        <f t="shared" si="15"/>
        <v>0.74899328859060399</v>
      </c>
      <c r="H62" s="281">
        <f t="shared" si="15"/>
        <v>8.1879194630872482E-2</v>
      </c>
      <c r="I62" s="281">
        <f t="shared" si="15"/>
        <v>8.859060402684564E-2</v>
      </c>
      <c r="J62" s="281">
        <f t="shared" si="15"/>
        <v>8.0536912751677847E-2</v>
      </c>
      <c r="K62" s="281">
        <f t="shared" si="6"/>
        <v>5.7568966849547945E-2</v>
      </c>
      <c r="L62" s="281">
        <f t="shared" si="17"/>
        <v>5.7568966849547945E-2</v>
      </c>
    </row>
    <row r="63" spans="1:12">
      <c r="A63" s="116" t="s">
        <v>174</v>
      </c>
      <c r="B63" s="105">
        <v>926000</v>
      </c>
      <c r="C63" s="9">
        <v>737000</v>
      </c>
      <c r="D63" s="9">
        <v>122000</v>
      </c>
      <c r="E63" s="9">
        <v>13000</v>
      </c>
      <c r="F63" s="9">
        <v>54000</v>
      </c>
      <c r="G63" s="204">
        <f t="shared" si="15"/>
        <v>0.79589632829373647</v>
      </c>
      <c r="H63" s="204">
        <f t="shared" si="15"/>
        <v>0.13174946004319654</v>
      </c>
      <c r="I63" s="204">
        <f t="shared" si="15"/>
        <v>1.4038876889848811E-2</v>
      </c>
      <c r="J63" s="204">
        <f t="shared" si="15"/>
        <v>5.8315334773218146E-2</v>
      </c>
      <c r="K63" s="204">
        <f t="shared" si="6"/>
        <v>1.7888880302913222E-2</v>
      </c>
      <c r="L63" s="204">
        <f t="shared" si="17"/>
        <v>1.7888880302913222E-2</v>
      </c>
    </row>
    <row r="64" spans="1:12">
      <c r="A64" s="117" t="s">
        <v>227</v>
      </c>
      <c r="B64" s="106">
        <v>52000</v>
      </c>
      <c r="C64" s="11">
        <v>26000</v>
      </c>
      <c r="D64" s="11">
        <v>21000</v>
      </c>
      <c r="E64" s="16" t="s">
        <v>220</v>
      </c>
      <c r="F64" s="11">
        <v>6000</v>
      </c>
      <c r="G64" s="204">
        <f t="shared" si="15"/>
        <v>0.5</v>
      </c>
      <c r="H64" s="204">
        <f t="shared" si="15"/>
        <v>0.40384615384615385</v>
      </c>
      <c r="I64" s="204" t="e">
        <f t="shared" si="15"/>
        <v>#VALUE!</v>
      </c>
      <c r="J64" s="204">
        <f t="shared" si="15"/>
        <v>0.11538461538461539</v>
      </c>
      <c r="K64" s="204">
        <f t="shared" si="6"/>
        <v>1.0045591530793601E-3</v>
      </c>
      <c r="L64" s="204">
        <f t="shared" si="8"/>
        <v>-1.0045591530793601E-3</v>
      </c>
    </row>
    <row r="65" spans="1:12">
      <c r="A65" s="117" t="s">
        <v>228</v>
      </c>
      <c r="B65" s="106">
        <v>599000</v>
      </c>
      <c r="C65" s="11">
        <v>536000</v>
      </c>
      <c r="D65" s="11">
        <v>32000</v>
      </c>
      <c r="E65" s="11">
        <v>6000</v>
      </c>
      <c r="F65" s="11">
        <v>25000</v>
      </c>
      <c r="G65" s="204">
        <f t="shared" si="15"/>
        <v>0.89482470784641066</v>
      </c>
      <c r="H65" s="204">
        <f t="shared" si="15"/>
        <v>5.3422370617696162E-2</v>
      </c>
      <c r="I65" s="204">
        <f t="shared" si="15"/>
        <v>1.001669449081803E-2</v>
      </c>
      <c r="J65" s="204">
        <f t="shared" si="15"/>
        <v>4.1736227045075125E-2</v>
      </c>
      <c r="K65" s="204">
        <f t="shared" si="6"/>
        <v>1.1571748705664167E-2</v>
      </c>
      <c r="L65" s="204">
        <f>K65</f>
        <v>1.1571748705664167E-2</v>
      </c>
    </row>
    <row r="66" spans="1:12">
      <c r="A66" s="146" t="s">
        <v>229</v>
      </c>
      <c r="B66" s="105">
        <v>27000</v>
      </c>
      <c r="C66" s="9">
        <v>7000</v>
      </c>
      <c r="D66" s="9">
        <v>18000</v>
      </c>
      <c r="E66" s="13" t="s">
        <v>220</v>
      </c>
      <c r="F66" s="9">
        <v>2000</v>
      </c>
      <c r="G66" s="204">
        <f t="shared" si="15"/>
        <v>0.25925925925925924</v>
      </c>
      <c r="H66" s="204">
        <f t="shared" si="15"/>
        <v>0.66666666666666663</v>
      </c>
      <c r="I66" s="204" t="e">
        <f t="shared" si="15"/>
        <v>#VALUE!</v>
      </c>
      <c r="J66" s="204">
        <f t="shared" si="15"/>
        <v>7.407407407407407E-2</v>
      </c>
      <c r="K66" s="204">
        <f t="shared" si="6"/>
        <v>5.2159802179120628E-4</v>
      </c>
      <c r="L66" s="204">
        <f t="shared" si="8"/>
        <v>-5.2159802179120628E-4</v>
      </c>
    </row>
    <row r="67" spans="1:12">
      <c r="A67" s="117" t="s">
        <v>230</v>
      </c>
      <c r="B67" s="105">
        <v>53000</v>
      </c>
      <c r="C67" s="9">
        <v>17000</v>
      </c>
      <c r="D67" s="9">
        <v>27000</v>
      </c>
      <c r="E67" s="9">
        <v>6000</v>
      </c>
      <c r="F67" s="9">
        <v>3000</v>
      </c>
      <c r="G67" s="204">
        <f t="shared" si="15"/>
        <v>0.32075471698113206</v>
      </c>
      <c r="H67" s="204">
        <f t="shared" si="15"/>
        <v>0.50943396226415094</v>
      </c>
      <c r="I67" s="204">
        <f t="shared" si="15"/>
        <v>0.11320754716981132</v>
      </c>
      <c r="J67" s="204">
        <f t="shared" si="15"/>
        <v>5.6603773584905662E-2</v>
      </c>
      <c r="K67" s="204">
        <f t="shared" si="6"/>
        <v>1.0238775983308864E-3</v>
      </c>
      <c r="L67" s="204">
        <f t="shared" si="8"/>
        <v>-1.0238775983308864E-3</v>
      </c>
    </row>
    <row r="68" spans="1:12">
      <c r="A68" s="117" t="s">
        <v>231</v>
      </c>
      <c r="B68" s="105">
        <v>194000</v>
      </c>
      <c r="C68" s="9">
        <v>151000</v>
      </c>
      <c r="D68" s="9">
        <v>24000</v>
      </c>
      <c r="E68" s="13" t="s">
        <v>220</v>
      </c>
      <c r="F68" s="9">
        <v>19000</v>
      </c>
      <c r="G68" s="204">
        <f t="shared" si="15"/>
        <v>0.77835051546391754</v>
      </c>
      <c r="H68" s="204">
        <f t="shared" si="15"/>
        <v>0.12371134020618557</v>
      </c>
      <c r="I68" s="204" t="e">
        <f t="shared" si="15"/>
        <v>#VALUE!</v>
      </c>
      <c r="J68" s="204">
        <f t="shared" si="15"/>
        <v>9.7938144329896906E-2</v>
      </c>
      <c r="K68" s="204">
        <f t="shared" si="6"/>
        <v>3.7477783787960746E-3</v>
      </c>
      <c r="L68" s="204">
        <f t="shared" si="8"/>
        <v>-3.7477783787960746E-3</v>
      </c>
    </row>
    <row r="69" spans="1:12">
      <c r="A69" s="116" t="s">
        <v>175</v>
      </c>
      <c r="B69" s="105">
        <v>497000</v>
      </c>
      <c r="C69" s="9">
        <v>376000</v>
      </c>
      <c r="D69" s="9">
        <v>36000</v>
      </c>
      <c r="E69" s="9">
        <v>33000</v>
      </c>
      <c r="F69" s="9">
        <v>52000</v>
      </c>
      <c r="G69" s="204">
        <f t="shared" si="15"/>
        <v>0.75653923541247481</v>
      </c>
      <c r="H69" s="204">
        <f t="shared" si="15"/>
        <v>7.2434607645875254E-2</v>
      </c>
      <c r="I69" s="204">
        <f t="shared" si="15"/>
        <v>6.6398390342052319E-2</v>
      </c>
      <c r="J69" s="204">
        <f t="shared" si="15"/>
        <v>0.10462776659959759</v>
      </c>
      <c r="K69" s="204">
        <f t="shared" si="6"/>
        <v>9.6012672900085E-3</v>
      </c>
      <c r="L69" s="204">
        <f t="shared" si="8"/>
        <v>-9.6012672900085E-3</v>
      </c>
    </row>
    <row r="70" spans="1:12">
      <c r="A70" s="116" t="s">
        <v>176</v>
      </c>
      <c r="B70" s="105">
        <v>1557000</v>
      </c>
      <c r="C70" s="9">
        <v>1119000</v>
      </c>
      <c r="D70" s="9">
        <v>85000</v>
      </c>
      <c r="E70" s="9">
        <v>219000</v>
      </c>
      <c r="F70" s="9">
        <v>134000</v>
      </c>
      <c r="G70" s="204">
        <f t="shared" si="15"/>
        <v>0.7186897880539499</v>
      </c>
      <c r="H70" s="204">
        <f t="shared" si="15"/>
        <v>5.4592164418754016E-2</v>
      </c>
      <c r="I70" s="204">
        <f t="shared" si="15"/>
        <v>0.14065510597302505</v>
      </c>
      <c r="J70" s="204">
        <f t="shared" si="15"/>
        <v>8.6062941554271036E-2</v>
      </c>
      <c r="K70" s="204">
        <f t="shared" ref="K70:K119" si="18">B70/$B$4</f>
        <v>3.0078819256626227E-2</v>
      </c>
      <c r="L70" s="204">
        <f>K70</f>
        <v>3.0078819256626227E-2</v>
      </c>
    </row>
    <row r="71" spans="1:12">
      <c r="A71" s="138" t="s">
        <v>221</v>
      </c>
      <c r="B71" s="136">
        <v>770000</v>
      </c>
      <c r="C71" s="137">
        <v>406000</v>
      </c>
      <c r="D71" s="137">
        <v>290000</v>
      </c>
      <c r="E71" s="137">
        <v>29000</v>
      </c>
      <c r="F71" s="137">
        <v>46000</v>
      </c>
      <c r="G71" s="283">
        <f t="shared" si="15"/>
        <v>0.52727272727272723</v>
      </c>
      <c r="H71" s="283">
        <f t="shared" si="15"/>
        <v>0.37662337662337664</v>
      </c>
      <c r="I71" s="283">
        <f t="shared" si="15"/>
        <v>3.7662337662337661E-2</v>
      </c>
      <c r="J71" s="283">
        <f t="shared" si="15"/>
        <v>5.9740259740259739E-2</v>
      </c>
      <c r="K71" s="283">
        <f t="shared" si="18"/>
        <v>1.4875202843675141E-2</v>
      </c>
      <c r="L71" s="283">
        <f>K71</f>
        <v>1.4875202843675141E-2</v>
      </c>
    </row>
    <row r="72" spans="1:12">
      <c r="A72" s="139" t="s">
        <v>174</v>
      </c>
      <c r="B72" s="105">
        <v>427000</v>
      </c>
      <c r="C72" s="9">
        <v>201000</v>
      </c>
      <c r="D72" s="9">
        <v>190000</v>
      </c>
      <c r="E72" s="9">
        <v>7000</v>
      </c>
      <c r="F72" s="9">
        <v>30000</v>
      </c>
      <c r="G72" s="204">
        <f t="shared" si="15"/>
        <v>0.47072599531615927</v>
      </c>
      <c r="H72" s="204">
        <f t="shared" si="15"/>
        <v>0.44496487119437939</v>
      </c>
      <c r="I72" s="204">
        <f t="shared" si="15"/>
        <v>1.6393442622950821E-2</v>
      </c>
      <c r="J72" s="204">
        <f t="shared" si="15"/>
        <v>7.0257611241217793E-2</v>
      </c>
      <c r="K72" s="204">
        <f t="shared" si="18"/>
        <v>8.2489761224016685E-3</v>
      </c>
      <c r="L72" s="204">
        <f t="shared" si="8"/>
        <v>-8.2489761224016685E-3</v>
      </c>
    </row>
    <row r="73" spans="1:12">
      <c r="A73" s="140" t="s">
        <v>227</v>
      </c>
      <c r="B73" s="106">
        <v>139000</v>
      </c>
      <c r="C73" s="11">
        <v>54000</v>
      </c>
      <c r="D73" s="11">
        <v>72000</v>
      </c>
      <c r="E73" s="11">
        <v>2000</v>
      </c>
      <c r="F73" s="11">
        <v>11000</v>
      </c>
      <c r="G73" s="204">
        <f t="shared" si="15"/>
        <v>0.38848920863309355</v>
      </c>
      <c r="H73" s="204">
        <f t="shared" si="15"/>
        <v>0.51798561151079137</v>
      </c>
      <c r="I73" s="204">
        <f t="shared" si="15"/>
        <v>1.4388489208633094E-2</v>
      </c>
      <c r="J73" s="204">
        <f t="shared" si="15"/>
        <v>7.9136690647482008E-2</v>
      </c>
      <c r="K73" s="204">
        <f t="shared" si="18"/>
        <v>2.6852638899621359E-3</v>
      </c>
      <c r="L73" s="204">
        <f t="shared" ref="L73:L118" si="19">K73*(-1)</f>
        <v>-2.6852638899621359E-3</v>
      </c>
    </row>
    <row r="74" spans="1:12">
      <c r="A74" s="140" t="s">
        <v>228</v>
      </c>
      <c r="B74" s="106">
        <v>110000</v>
      </c>
      <c r="C74" s="11">
        <v>73000</v>
      </c>
      <c r="D74" s="11">
        <v>29000</v>
      </c>
      <c r="E74" s="11">
        <v>2000</v>
      </c>
      <c r="F74" s="11">
        <v>5000</v>
      </c>
      <c r="G74" s="204">
        <f t="shared" si="15"/>
        <v>0.66363636363636369</v>
      </c>
      <c r="H74" s="204">
        <f t="shared" si="15"/>
        <v>0.26363636363636361</v>
      </c>
      <c r="I74" s="204">
        <f t="shared" si="15"/>
        <v>1.8181818181818181E-2</v>
      </c>
      <c r="J74" s="204">
        <f t="shared" si="15"/>
        <v>4.5454545454545456E-2</v>
      </c>
      <c r="K74" s="204">
        <f t="shared" si="18"/>
        <v>2.1250289776678774E-3</v>
      </c>
      <c r="L74" s="204">
        <f t="shared" si="19"/>
        <v>-2.1250289776678774E-3</v>
      </c>
    </row>
    <row r="75" spans="1:12">
      <c r="A75" s="149" t="s">
        <v>229</v>
      </c>
      <c r="B75" s="105">
        <v>53000</v>
      </c>
      <c r="C75" s="9">
        <v>15000</v>
      </c>
      <c r="D75" s="9">
        <v>31000</v>
      </c>
      <c r="E75" s="9">
        <v>1000</v>
      </c>
      <c r="F75" s="9">
        <v>6000</v>
      </c>
      <c r="G75" s="204">
        <f t="shared" si="15"/>
        <v>0.28301886792452829</v>
      </c>
      <c r="H75" s="204">
        <f t="shared" si="15"/>
        <v>0.58490566037735847</v>
      </c>
      <c r="I75" s="204">
        <f t="shared" si="15"/>
        <v>1.8867924528301886E-2</v>
      </c>
      <c r="J75" s="204">
        <f t="shared" si="15"/>
        <v>0.11320754716981132</v>
      </c>
      <c r="K75" s="204">
        <f t="shared" si="18"/>
        <v>1.0238775983308864E-3</v>
      </c>
      <c r="L75" s="204">
        <f t="shared" si="19"/>
        <v>-1.0238775983308864E-3</v>
      </c>
    </row>
    <row r="76" spans="1:12">
      <c r="A76" s="140" t="s">
        <v>230</v>
      </c>
      <c r="B76" s="105">
        <v>46000</v>
      </c>
      <c r="C76" s="9">
        <v>9000</v>
      </c>
      <c r="D76" s="9">
        <v>32000</v>
      </c>
      <c r="E76" s="9">
        <v>1000</v>
      </c>
      <c r="F76" s="9">
        <v>3000</v>
      </c>
      <c r="G76" s="204">
        <f t="shared" si="15"/>
        <v>0.19565217391304349</v>
      </c>
      <c r="H76" s="204">
        <f t="shared" si="15"/>
        <v>0.69565217391304346</v>
      </c>
      <c r="I76" s="204">
        <f t="shared" si="15"/>
        <v>2.1739130434782608E-2</v>
      </c>
      <c r="J76" s="204">
        <f t="shared" si="15"/>
        <v>6.5217391304347824E-2</v>
      </c>
      <c r="K76" s="204">
        <f t="shared" si="18"/>
        <v>8.8864848157020322E-4</v>
      </c>
      <c r="L76" s="204">
        <f t="shared" si="19"/>
        <v>-8.8864848157020322E-4</v>
      </c>
    </row>
    <row r="77" spans="1:12">
      <c r="A77" s="140" t="s">
        <v>231</v>
      </c>
      <c r="B77" s="105">
        <v>80000</v>
      </c>
      <c r="C77" s="9">
        <v>49000</v>
      </c>
      <c r="D77" s="9">
        <v>26000</v>
      </c>
      <c r="E77" s="13" t="s">
        <v>191</v>
      </c>
      <c r="F77" s="9">
        <v>4000</v>
      </c>
      <c r="G77" s="204">
        <f t="shared" si="15"/>
        <v>0.61250000000000004</v>
      </c>
      <c r="H77" s="204">
        <f t="shared" si="15"/>
        <v>0.32500000000000001</v>
      </c>
      <c r="I77" s="204" t="e">
        <f t="shared" si="15"/>
        <v>#VALUE!</v>
      </c>
      <c r="J77" s="204">
        <f t="shared" si="15"/>
        <v>0.05</v>
      </c>
      <c r="K77" s="204">
        <f t="shared" si="18"/>
        <v>1.5454756201220925E-3</v>
      </c>
      <c r="L77" s="204">
        <f t="shared" si="19"/>
        <v>-1.5454756201220925E-3</v>
      </c>
    </row>
    <row r="78" spans="1:12">
      <c r="A78" s="139" t="s">
        <v>175</v>
      </c>
      <c r="B78" s="105">
        <v>127000</v>
      </c>
      <c r="C78" s="9">
        <v>75000</v>
      </c>
      <c r="D78" s="9">
        <v>39000</v>
      </c>
      <c r="E78" s="9">
        <v>5000</v>
      </c>
      <c r="F78" s="9">
        <v>7000</v>
      </c>
      <c r="G78" s="204">
        <f t="shared" si="15"/>
        <v>0.59055118110236215</v>
      </c>
      <c r="H78" s="204">
        <f t="shared" si="15"/>
        <v>0.30708661417322836</v>
      </c>
      <c r="I78" s="204">
        <f t="shared" si="15"/>
        <v>3.937007874015748E-2</v>
      </c>
      <c r="J78" s="204">
        <f t="shared" si="15"/>
        <v>5.5118110236220472E-2</v>
      </c>
      <c r="K78" s="204">
        <f t="shared" si="18"/>
        <v>2.453442546943822E-3</v>
      </c>
      <c r="L78" s="204">
        <f t="shared" si="19"/>
        <v>-2.453442546943822E-3</v>
      </c>
    </row>
    <row r="79" spans="1:12">
      <c r="A79" s="139" t="s">
        <v>176</v>
      </c>
      <c r="B79" s="105">
        <v>217000</v>
      </c>
      <c r="C79" s="9">
        <v>131000</v>
      </c>
      <c r="D79" s="9">
        <v>61000</v>
      </c>
      <c r="E79" s="9">
        <v>17000</v>
      </c>
      <c r="F79" s="9">
        <v>8000</v>
      </c>
      <c r="G79" s="204">
        <f t="shared" si="15"/>
        <v>0.60368663594470051</v>
      </c>
      <c r="H79" s="204">
        <f t="shared" si="15"/>
        <v>0.28110599078341014</v>
      </c>
      <c r="I79" s="204">
        <f t="shared" si="15"/>
        <v>7.8341013824884786E-2</v>
      </c>
      <c r="J79" s="204">
        <f t="shared" si="15"/>
        <v>3.6866359447004608E-2</v>
      </c>
      <c r="K79" s="204">
        <f t="shared" si="18"/>
        <v>4.1921026195811759E-3</v>
      </c>
      <c r="L79" s="204">
        <f t="shared" si="19"/>
        <v>-4.1921026195811759E-3</v>
      </c>
    </row>
    <row r="80" spans="1:12">
      <c r="A80" s="196" t="s">
        <v>223</v>
      </c>
      <c r="B80" s="104">
        <v>525000</v>
      </c>
      <c r="C80" s="104">
        <v>412000</v>
      </c>
      <c r="D80" s="104">
        <v>65000</v>
      </c>
      <c r="E80" s="104">
        <v>4000</v>
      </c>
      <c r="F80" s="104">
        <v>44000</v>
      </c>
      <c r="G80" s="204"/>
      <c r="H80" s="204"/>
      <c r="I80" s="204"/>
      <c r="J80" s="204"/>
      <c r="L80" s="204"/>
    </row>
    <row r="81" spans="1:14">
      <c r="A81" s="161" t="s">
        <v>174</v>
      </c>
      <c r="B81" s="9">
        <v>21000</v>
      </c>
      <c r="C81" s="9">
        <v>11000</v>
      </c>
      <c r="D81" s="9">
        <v>8000</v>
      </c>
      <c r="E81" s="13" t="s">
        <v>220</v>
      </c>
      <c r="F81" s="13" t="s">
        <v>191</v>
      </c>
      <c r="G81" s="204"/>
      <c r="H81" s="204"/>
      <c r="I81" s="204"/>
      <c r="J81" s="204"/>
      <c r="L81" s="204"/>
    </row>
    <row r="82" spans="1:14">
      <c r="A82" s="161" t="s">
        <v>175</v>
      </c>
      <c r="B82" s="9">
        <v>325000</v>
      </c>
      <c r="C82" s="9">
        <v>262000</v>
      </c>
      <c r="D82" s="9">
        <v>50000</v>
      </c>
      <c r="E82" s="13" t="s">
        <v>191</v>
      </c>
      <c r="F82" s="13" t="s">
        <v>191</v>
      </c>
      <c r="G82" s="204"/>
      <c r="H82" s="204"/>
      <c r="I82" s="204"/>
      <c r="J82" s="204"/>
      <c r="L82" s="204"/>
    </row>
    <row r="83" spans="1:14">
      <c r="A83" s="199" t="s">
        <v>176</v>
      </c>
      <c r="B83" s="9">
        <v>179000</v>
      </c>
      <c r="C83" s="9">
        <v>139000</v>
      </c>
      <c r="D83" s="9">
        <v>7000</v>
      </c>
      <c r="E83" s="9">
        <v>1000</v>
      </c>
      <c r="F83" s="9">
        <v>32000</v>
      </c>
      <c r="G83" s="204"/>
      <c r="H83" s="204"/>
      <c r="I83" s="204"/>
      <c r="J83" s="204"/>
      <c r="L83" s="204"/>
    </row>
    <row r="84" spans="1:14">
      <c r="A84" s="129" t="s">
        <v>593</v>
      </c>
      <c r="B84" s="197">
        <v>42453000</v>
      </c>
      <c r="C84" s="198">
        <v>29318000</v>
      </c>
      <c r="D84" s="198">
        <v>2511000</v>
      </c>
      <c r="E84" s="198">
        <v>5995000</v>
      </c>
      <c r="F84" s="198">
        <v>4628000</v>
      </c>
      <c r="G84" s="277">
        <f t="shared" si="15"/>
        <v>0.6905990153817162</v>
      </c>
      <c r="H84" s="277">
        <f t="shared" si="15"/>
        <v>5.9147763408946362E-2</v>
      </c>
      <c r="I84" s="277">
        <f t="shared" si="15"/>
        <v>0.14121499069559276</v>
      </c>
      <c r="J84" s="277">
        <f t="shared" si="15"/>
        <v>0.1090146750524109</v>
      </c>
      <c r="K84" s="277">
        <f t="shared" si="18"/>
        <v>0.82012595626303997</v>
      </c>
      <c r="L84" s="277">
        <f>K84</f>
        <v>0.82012595626303997</v>
      </c>
    </row>
    <row r="85" spans="1:14">
      <c r="A85" s="130" t="s">
        <v>174</v>
      </c>
      <c r="B85" s="105">
        <v>5633000</v>
      </c>
      <c r="C85" s="9">
        <v>4107000</v>
      </c>
      <c r="D85" s="9">
        <v>659000</v>
      </c>
      <c r="E85" s="9">
        <v>179000</v>
      </c>
      <c r="F85" s="9">
        <v>688000</v>
      </c>
      <c r="G85" s="204">
        <f t="shared" si="15"/>
        <v>0.72909639623646372</v>
      </c>
      <c r="H85" s="204">
        <f t="shared" si="15"/>
        <v>0.11698917095686136</v>
      </c>
      <c r="I85" s="204">
        <f t="shared" si="15"/>
        <v>3.1777028226522279E-2</v>
      </c>
      <c r="J85" s="204">
        <f t="shared" si="15"/>
        <v>0.12213740458015267</v>
      </c>
      <c r="K85" s="204">
        <f t="shared" si="18"/>
        <v>0.10882080210184684</v>
      </c>
      <c r="L85" s="204">
        <f>K85</f>
        <v>0.10882080210184684</v>
      </c>
    </row>
    <row r="86" spans="1:14">
      <c r="A86" s="131" t="s">
        <v>227</v>
      </c>
      <c r="B86" s="106">
        <v>548000</v>
      </c>
      <c r="C86" s="11">
        <v>240000</v>
      </c>
      <c r="D86" s="11">
        <v>184000</v>
      </c>
      <c r="E86" s="11">
        <v>22000</v>
      </c>
      <c r="F86" s="11">
        <v>102000</v>
      </c>
      <c r="G86" s="204">
        <f t="shared" si="15"/>
        <v>0.43795620437956206</v>
      </c>
      <c r="H86" s="204">
        <f t="shared" si="15"/>
        <v>0.33576642335766421</v>
      </c>
      <c r="I86" s="204">
        <f t="shared" si="15"/>
        <v>4.0145985401459854E-2</v>
      </c>
      <c r="J86" s="204">
        <f t="shared" si="15"/>
        <v>0.18613138686131386</v>
      </c>
      <c r="K86" s="204">
        <f t="shared" si="18"/>
        <v>1.0586507997836335E-2</v>
      </c>
      <c r="L86" s="204">
        <f t="shared" si="19"/>
        <v>-1.0586507997836335E-2</v>
      </c>
    </row>
    <row r="87" spans="1:14">
      <c r="A87" s="131" t="s">
        <v>228</v>
      </c>
      <c r="B87" s="142">
        <v>2707000</v>
      </c>
      <c r="C87" s="29">
        <v>2260000</v>
      </c>
      <c r="D87" s="29">
        <v>153000</v>
      </c>
      <c r="E87" s="29">
        <v>80000</v>
      </c>
      <c r="F87" s="29">
        <v>214000</v>
      </c>
      <c r="G87" s="204">
        <f>C87/$B87</f>
        <v>0.83487255264130034</v>
      </c>
      <c r="H87" s="204">
        <f t="shared" ref="H87:J102" si="20">D87/$B87</f>
        <v>5.6520132988548209E-2</v>
      </c>
      <c r="I87" s="204">
        <f t="shared" si="20"/>
        <v>2.9553010712966385E-2</v>
      </c>
      <c r="J87" s="204">
        <f t="shared" si="20"/>
        <v>7.9054303657185077E-2</v>
      </c>
      <c r="K87" s="204">
        <f t="shared" si="18"/>
        <v>5.2295031295881304E-2</v>
      </c>
      <c r="L87" s="204">
        <f>K87</f>
        <v>5.2295031295881304E-2</v>
      </c>
    </row>
    <row r="88" spans="1:14">
      <c r="A88" s="131" t="s">
        <v>229</v>
      </c>
      <c r="B88" s="105">
        <v>309000</v>
      </c>
      <c r="C88" s="9">
        <v>141000</v>
      </c>
      <c r="D88" s="9">
        <v>71000</v>
      </c>
      <c r="E88" s="9">
        <v>9000</v>
      </c>
      <c r="F88" s="9">
        <v>88000</v>
      </c>
      <c r="G88" s="204">
        <f t="shared" ref="G88:J119" si="21">C88/$B88</f>
        <v>0.4563106796116505</v>
      </c>
      <c r="H88" s="204">
        <f t="shared" si="20"/>
        <v>0.22977346278317151</v>
      </c>
      <c r="I88" s="204">
        <f t="shared" si="20"/>
        <v>2.9126213592233011E-2</v>
      </c>
      <c r="J88" s="204">
        <f t="shared" si="20"/>
        <v>0.28478964401294499</v>
      </c>
      <c r="K88" s="204">
        <f t="shared" si="18"/>
        <v>5.9693995827215822E-3</v>
      </c>
      <c r="L88" s="204">
        <f t="shared" si="19"/>
        <v>-5.9693995827215822E-3</v>
      </c>
    </row>
    <row r="89" spans="1:14">
      <c r="A89" s="131" t="s">
        <v>230</v>
      </c>
      <c r="B89" s="105">
        <v>583000</v>
      </c>
      <c r="C89" s="9">
        <v>220000</v>
      </c>
      <c r="D89" s="9">
        <v>199000</v>
      </c>
      <c r="E89" s="9">
        <v>64000</v>
      </c>
      <c r="F89" s="9">
        <v>100000</v>
      </c>
      <c r="G89" s="204">
        <f t="shared" si="21"/>
        <v>0.37735849056603776</v>
      </c>
      <c r="H89" s="204">
        <f t="shared" si="20"/>
        <v>0.34133790737564323</v>
      </c>
      <c r="I89" s="204">
        <f t="shared" si="20"/>
        <v>0.10977701543739279</v>
      </c>
      <c r="J89" s="204">
        <f t="shared" si="20"/>
        <v>0.17152658662092624</v>
      </c>
      <c r="K89" s="204">
        <f t="shared" si="18"/>
        <v>1.1262653581639749E-2</v>
      </c>
      <c r="L89" s="204">
        <f>K89</f>
        <v>1.1262653581639749E-2</v>
      </c>
    </row>
    <row r="90" spans="1:14">
      <c r="A90" s="131" t="s">
        <v>231</v>
      </c>
      <c r="B90" s="105">
        <v>1487000</v>
      </c>
      <c r="C90" s="9">
        <v>1247000</v>
      </c>
      <c r="D90" s="9">
        <v>52000</v>
      </c>
      <c r="E90" s="9">
        <v>4000</v>
      </c>
      <c r="F90" s="9">
        <v>184000</v>
      </c>
      <c r="G90" s="204">
        <f t="shared" si="21"/>
        <v>0.83860121049092129</v>
      </c>
      <c r="H90" s="204">
        <f t="shared" si="20"/>
        <v>3.496973772696705E-2</v>
      </c>
      <c r="I90" s="204">
        <f t="shared" si="20"/>
        <v>2.6899798251513113E-3</v>
      </c>
      <c r="J90" s="204">
        <f t="shared" si="20"/>
        <v>0.12373907195696032</v>
      </c>
      <c r="K90" s="204">
        <f t="shared" si="18"/>
        <v>2.8726528089019397E-2</v>
      </c>
      <c r="L90" s="204">
        <f t="shared" ref="L90:L94" si="22">K90</f>
        <v>2.8726528089019397E-2</v>
      </c>
    </row>
    <row r="91" spans="1:14">
      <c r="A91" s="130" t="s">
        <v>175</v>
      </c>
      <c r="B91" s="105">
        <v>7592000</v>
      </c>
      <c r="C91" s="9">
        <v>5386000</v>
      </c>
      <c r="D91" s="9">
        <v>536000</v>
      </c>
      <c r="E91" s="9">
        <v>1085000</v>
      </c>
      <c r="F91" s="9">
        <v>585000</v>
      </c>
      <c r="G91" s="204">
        <f t="shared" si="21"/>
        <v>0.70943097997892524</v>
      </c>
      <c r="H91" s="204">
        <f t="shared" si="20"/>
        <v>7.0600632244467859E-2</v>
      </c>
      <c r="I91" s="204">
        <f t="shared" si="20"/>
        <v>0.14291359325605901</v>
      </c>
      <c r="J91" s="204">
        <f t="shared" si="20"/>
        <v>7.7054794520547948E-2</v>
      </c>
      <c r="K91" s="204">
        <f t="shared" si="18"/>
        <v>0.1466656363495866</v>
      </c>
      <c r="L91" s="204">
        <f t="shared" si="22"/>
        <v>0.1466656363495866</v>
      </c>
      <c r="N91" s="204"/>
    </row>
    <row r="92" spans="1:14">
      <c r="A92" s="130" t="s">
        <v>176</v>
      </c>
      <c r="B92" s="105">
        <v>29228000</v>
      </c>
      <c r="C92" s="9">
        <v>19825000</v>
      </c>
      <c r="D92" s="9">
        <v>1315000</v>
      </c>
      <c r="E92" s="9">
        <v>4732000</v>
      </c>
      <c r="F92" s="9">
        <v>3356000</v>
      </c>
      <c r="G92" s="204">
        <f t="shared" si="21"/>
        <v>0.67828794306829066</v>
      </c>
      <c r="H92" s="204">
        <f t="shared" si="20"/>
        <v>4.4991104420418773E-2</v>
      </c>
      <c r="I92" s="204">
        <f t="shared" si="20"/>
        <v>0.16189954837826742</v>
      </c>
      <c r="J92" s="204">
        <f t="shared" si="20"/>
        <v>0.11482140413302312</v>
      </c>
      <c r="K92" s="204">
        <f t="shared" si="18"/>
        <v>0.56463951781160648</v>
      </c>
      <c r="L92" s="204">
        <f t="shared" si="22"/>
        <v>0.56463951781160648</v>
      </c>
    </row>
    <row r="93" spans="1:14">
      <c r="A93" s="120" t="s">
        <v>218</v>
      </c>
      <c r="B93" s="124">
        <v>26652000</v>
      </c>
      <c r="C93" s="119">
        <v>20255000</v>
      </c>
      <c r="D93" s="119">
        <v>928000</v>
      </c>
      <c r="E93" s="119">
        <v>2698000</v>
      </c>
      <c r="F93" s="119">
        <v>2771000</v>
      </c>
      <c r="G93" s="279">
        <f t="shared" si="21"/>
        <v>0.759980489269098</v>
      </c>
      <c r="H93" s="279">
        <f t="shared" si="20"/>
        <v>3.4819150532793039E-2</v>
      </c>
      <c r="I93" s="279">
        <f t="shared" si="20"/>
        <v>0.10123067687227975</v>
      </c>
      <c r="J93" s="279">
        <f t="shared" si="20"/>
        <v>0.1039696833258292</v>
      </c>
      <c r="K93" s="279">
        <f t="shared" si="18"/>
        <v>0.51487520284367516</v>
      </c>
      <c r="L93" s="279">
        <f t="shared" si="22"/>
        <v>0.51487520284367516</v>
      </c>
    </row>
    <row r="94" spans="1:14">
      <c r="A94" s="121" t="s">
        <v>174</v>
      </c>
      <c r="B94" s="105">
        <v>3551000</v>
      </c>
      <c r="C94" s="9">
        <v>2887000</v>
      </c>
      <c r="D94" s="9">
        <v>225000</v>
      </c>
      <c r="E94" s="9">
        <v>57000</v>
      </c>
      <c r="F94" s="9">
        <v>382000</v>
      </c>
      <c r="G94" s="204">
        <f t="shared" si="21"/>
        <v>0.81301041960011267</v>
      </c>
      <c r="H94" s="204">
        <f t="shared" si="20"/>
        <v>6.3362433117431713E-2</v>
      </c>
      <c r="I94" s="204">
        <f t="shared" si="20"/>
        <v>1.6051816389749365E-2</v>
      </c>
      <c r="J94" s="204">
        <f t="shared" si="20"/>
        <v>0.10757533089270628</v>
      </c>
      <c r="K94" s="204">
        <f t="shared" si="18"/>
        <v>6.8599799088169378E-2</v>
      </c>
      <c r="L94" s="204">
        <f t="shared" si="22"/>
        <v>6.8599799088169378E-2</v>
      </c>
    </row>
    <row r="95" spans="1:14">
      <c r="A95" s="122" t="s">
        <v>227</v>
      </c>
      <c r="B95" s="106">
        <v>249000</v>
      </c>
      <c r="C95" s="11">
        <v>126000</v>
      </c>
      <c r="D95" s="11">
        <v>70000</v>
      </c>
      <c r="E95" s="16" t="s">
        <v>191</v>
      </c>
      <c r="F95" s="11">
        <v>52000</v>
      </c>
      <c r="G95" s="204">
        <f t="shared" si="21"/>
        <v>0.50602409638554213</v>
      </c>
      <c r="H95" s="204">
        <f t="shared" si="20"/>
        <v>0.28112449799196787</v>
      </c>
      <c r="I95" s="204" t="e">
        <f t="shared" si="20"/>
        <v>#VALUE!</v>
      </c>
      <c r="J95" s="204">
        <f t="shared" si="20"/>
        <v>0.20883534136546184</v>
      </c>
      <c r="K95" s="204">
        <f t="shared" si="18"/>
        <v>4.8102928676300128E-3</v>
      </c>
      <c r="L95" s="204">
        <f t="shared" si="19"/>
        <v>-4.8102928676300128E-3</v>
      </c>
    </row>
    <row r="96" spans="1:14">
      <c r="A96" s="122" t="s">
        <v>228</v>
      </c>
      <c r="B96" s="106">
        <v>1962000</v>
      </c>
      <c r="C96" s="11">
        <v>1718000</v>
      </c>
      <c r="D96" s="11">
        <v>67000</v>
      </c>
      <c r="E96" s="11">
        <v>41000</v>
      </c>
      <c r="F96" s="11">
        <v>135000</v>
      </c>
      <c r="G96" s="204">
        <f t="shared" si="21"/>
        <v>0.87563710499490321</v>
      </c>
      <c r="H96" s="204">
        <f t="shared" si="20"/>
        <v>3.4148827726809376E-2</v>
      </c>
      <c r="I96" s="204">
        <f t="shared" si="20"/>
        <v>2.0897043832823651E-2</v>
      </c>
      <c r="J96" s="204">
        <f t="shared" si="20"/>
        <v>6.8807339449541288E-2</v>
      </c>
      <c r="K96" s="204">
        <f t="shared" si="18"/>
        <v>3.7902789583494322E-2</v>
      </c>
      <c r="L96" s="204">
        <f>K96</f>
        <v>3.7902789583494322E-2</v>
      </c>
    </row>
    <row r="97" spans="1:12">
      <c r="A97" s="195" t="s">
        <v>229</v>
      </c>
      <c r="B97" s="105">
        <v>158000</v>
      </c>
      <c r="C97" s="9">
        <v>81000</v>
      </c>
      <c r="D97" s="9">
        <v>23000</v>
      </c>
      <c r="E97" s="13" t="s">
        <v>191</v>
      </c>
      <c r="F97" s="9">
        <v>51000</v>
      </c>
      <c r="G97" s="204">
        <f t="shared" si="21"/>
        <v>0.51265822784810122</v>
      </c>
      <c r="H97" s="204">
        <f t="shared" si="20"/>
        <v>0.14556962025316456</v>
      </c>
      <c r="I97" s="204" t="e">
        <f t="shared" si="20"/>
        <v>#VALUE!</v>
      </c>
      <c r="J97" s="204">
        <f t="shared" si="20"/>
        <v>0.32278481012658228</v>
      </c>
      <c r="K97" s="204">
        <f t="shared" si="18"/>
        <v>3.0523143497411327E-3</v>
      </c>
      <c r="L97" s="204">
        <f t="shared" si="19"/>
        <v>-3.0523143497411327E-3</v>
      </c>
    </row>
    <row r="98" spans="1:12">
      <c r="A98" s="122" t="s">
        <v>230</v>
      </c>
      <c r="B98" s="105">
        <v>148000</v>
      </c>
      <c r="C98" s="9">
        <v>66000</v>
      </c>
      <c r="D98" s="9">
        <v>47000</v>
      </c>
      <c r="E98" s="9">
        <v>9000</v>
      </c>
      <c r="F98" s="9">
        <v>25000</v>
      </c>
      <c r="G98" s="204">
        <f t="shared" si="21"/>
        <v>0.44594594594594594</v>
      </c>
      <c r="H98" s="204">
        <f t="shared" si="20"/>
        <v>0.31756756756756754</v>
      </c>
      <c r="I98" s="204">
        <f t="shared" si="20"/>
        <v>6.0810810810810814E-2</v>
      </c>
      <c r="J98" s="204">
        <f t="shared" si="20"/>
        <v>0.16891891891891891</v>
      </c>
      <c r="K98" s="204">
        <f t="shared" si="18"/>
        <v>2.8591298972258715E-3</v>
      </c>
      <c r="L98" s="204">
        <f t="shared" si="19"/>
        <v>-2.8591298972258715E-3</v>
      </c>
    </row>
    <row r="99" spans="1:12">
      <c r="A99" s="122" t="s">
        <v>231</v>
      </c>
      <c r="B99" s="105">
        <v>1035000</v>
      </c>
      <c r="C99" s="9">
        <v>896000</v>
      </c>
      <c r="D99" s="9">
        <v>18000</v>
      </c>
      <c r="E99" s="9">
        <v>2000</v>
      </c>
      <c r="F99" s="9">
        <v>119000</v>
      </c>
      <c r="G99" s="204">
        <f t="shared" si="21"/>
        <v>0.86570048309178749</v>
      </c>
      <c r="H99" s="204">
        <f t="shared" si="20"/>
        <v>1.7391304347826087E-2</v>
      </c>
      <c r="I99" s="204">
        <f t="shared" si="20"/>
        <v>1.9323671497584541E-3</v>
      </c>
      <c r="J99" s="204">
        <f t="shared" si="20"/>
        <v>0.11497584541062802</v>
      </c>
      <c r="K99" s="204">
        <f t="shared" si="18"/>
        <v>1.9994590835329572E-2</v>
      </c>
      <c r="L99" s="204">
        <f>K99</f>
        <v>1.9994590835329572E-2</v>
      </c>
    </row>
    <row r="100" spans="1:12">
      <c r="A100" s="121" t="s">
        <v>175</v>
      </c>
      <c r="B100" s="105">
        <v>4050000</v>
      </c>
      <c r="C100" s="9">
        <v>3097000</v>
      </c>
      <c r="D100" s="9">
        <v>190000</v>
      </c>
      <c r="E100" s="9">
        <v>463000</v>
      </c>
      <c r="F100" s="9">
        <v>300000</v>
      </c>
      <c r="G100" s="204">
        <f t="shared" si="21"/>
        <v>0.76469135802469135</v>
      </c>
      <c r="H100" s="204">
        <f t="shared" si="20"/>
        <v>4.6913580246913583E-2</v>
      </c>
      <c r="I100" s="204">
        <f t="shared" si="20"/>
        <v>0.11432098765432099</v>
      </c>
      <c r="J100" s="204">
        <f t="shared" si="20"/>
        <v>7.407407407407407E-2</v>
      </c>
      <c r="K100" s="204">
        <f t="shared" si="18"/>
        <v>7.8239703268680932E-2</v>
      </c>
      <c r="L100" s="204">
        <f t="shared" ref="L100:L103" si="23">K100</f>
        <v>7.8239703268680932E-2</v>
      </c>
    </row>
    <row r="101" spans="1:12">
      <c r="A101" s="121" t="s">
        <v>176</v>
      </c>
      <c r="B101" s="105">
        <v>19051000</v>
      </c>
      <c r="C101" s="9">
        <v>14271000</v>
      </c>
      <c r="D101" s="9">
        <v>513000</v>
      </c>
      <c r="E101" s="9">
        <v>2178000</v>
      </c>
      <c r="F101" s="9">
        <v>2089000</v>
      </c>
      <c r="G101" s="204">
        <f t="shared" si="21"/>
        <v>0.74909453571990969</v>
      </c>
      <c r="H101" s="204">
        <f t="shared" si="20"/>
        <v>2.692772032964149E-2</v>
      </c>
      <c r="I101" s="204">
        <f t="shared" si="20"/>
        <v>0.11432470736444281</v>
      </c>
      <c r="J101" s="204">
        <f t="shared" si="20"/>
        <v>0.10965303658600599</v>
      </c>
      <c r="K101" s="204">
        <f t="shared" si="18"/>
        <v>0.36803570048682482</v>
      </c>
      <c r="L101" s="204">
        <f t="shared" si="23"/>
        <v>0.36803570048682482</v>
      </c>
    </row>
    <row r="102" spans="1:12">
      <c r="A102" s="115" t="s">
        <v>219</v>
      </c>
      <c r="B102" s="144">
        <v>11708000</v>
      </c>
      <c r="C102" s="143">
        <v>6428000</v>
      </c>
      <c r="D102" s="143">
        <v>848000</v>
      </c>
      <c r="E102" s="143">
        <v>3090000</v>
      </c>
      <c r="F102" s="143">
        <v>1342000</v>
      </c>
      <c r="G102" s="281">
        <f t="shared" si="21"/>
        <v>0.54902630679877007</v>
      </c>
      <c r="H102" s="281">
        <f t="shared" si="20"/>
        <v>7.242910830201571E-2</v>
      </c>
      <c r="I102" s="281">
        <f t="shared" si="20"/>
        <v>0.26392210454390158</v>
      </c>
      <c r="J102" s="281">
        <f t="shared" si="20"/>
        <v>0.11462248035531261</v>
      </c>
      <c r="K102" s="281">
        <f t="shared" si="18"/>
        <v>0.22618035700486824</v>
      </c>
      <c r="L102" s="281">
        <f t="shared" si="23"/>
        <v>0.22618035700486824</v>
      </c>
    </row>
    <row r="103" spans="1:12">
      <c r="A103" s="116" t="s">
        <v>174</v>
      </c>
      <c r="B103" s="105">
        <v>1485000</v>
      </c>
      <c r="C103" s="9">
        <v>975000</v>
      </c>
      <c r="D103" s="9">
        <v>178000</v>
      </c>
      <c r="E103" s="9">
        <v>93000</v>
      </c>
      <c r="F103" s="9">
        <v>239000</v>
      </c>
      <c r="G103" s="204">
        <f t="shared" si="21"/>
        <v>0.65656565656565657</v>
      </c>
      <c r="H103" s="204">
        <f t="shared" si="21"/>
        <v>0.11986531986531987</v>
      </c>
      <c r="I103" s="204">
        <f t="shared" si="21"/>
        <v>6.2626262626262627E-2</v>
      </c>
      <c r="J103" s="204">
        <f t="shared" si="21"/>
        <v>0.16094276094276094</v>
      </c>
      <c r="K103" s="204">
        <f t="shared" si="18"/>
        <v>2.8687891198516342E-2</v>
      </c>
      <c r="L103" s="204">
        <f t="shared" si="23"/>
        <v>2.8687891198516342E-2</v>
      </c>
    </row>
    <row r="104" spans="1:12">
      <c r="A104" s="117" t="s">
        <v>227</v>
      </c>
      <c r="B104" s="106">
        <v>136000</v>
      </c>
      <c r="C104" s="11">
        <v>55000</v>
      </c>
      <c r="D104" s="11">
        <v>35000</v>
      </c>
      <c r="E104" s="11">
        <v>14000</v>
      </c>
      <c r="F104" s="11">
        <v>33000</v>
      </c>
      <c r="G104" s="204">
        <f t="shared" si="21"/>
        <v>0.40441176470588236</v>
      </c>
      <c r="H104" s="204">
        <f t="shared" si="21"/>
        <v>0.25735294117647056</v>
      </c>
      <c r="I104" s="204">
        <f t="shared" si="21"/>
        <v>0.10294117647058823</v>
      </c>
      <c r="J104" s="204">
        <f t="shared" si="21"/>
        <v>0.24264705882352941</v>
      </c>
      <c r="K104" s="204">
        <f t="shared" si="18"/>
        <v>2.6273085542075575E-3</v>
      </c>
      <c r="L104" s="204">
        <f t="shared" si="19"/>
        <v>-2.6273085542075575E-3</v>
      </c>
    </row>
    <row r="105" spans="1:12">
      <c r="A105" s="117" t="s">
        <v>228</v>
      </c>
      <c r="B105" s="106">
        <v>653000</v>
      </c>
      <c r="C105" s="11">
        <v>487000</v>
      </c>
      <c r="D105" s="11">
        <v>54000</v>
      </c>
      <c r="E105" s="11">
        <v>36000</v>
      </c>
      <c r="F105" s="11">
        <v>75000</v>
      </c>
      <c r="G105" s="204">
        <f t="shared" si="21"/>
        <v>0.74578866768759566</v>
      </c>
      <c r="H105" s="204">
        <f t="shared" si="21"/>
        <v>8.2695252679938741E-2</v>
      </c>
      <c r="I105" s="204">
        <f t="shared" si="21"/>
        <v>5.5130168453292494E-2</v>
      </c>
      <c r="J105" s="204">
        <f t="shared" si="21"/>
        <v>0.11485451761102604</v>
      </c>
      <c r="K105" s="204">
        <f t="shared" si="18"/>
        <v>1.2614944749246581E-2</v>
      </c>
      <c r="L105" s="204">
        <f>K105</f>
        <v>1.2614944749246581E-2</v>
      </c>
    </row>
    <row r="106" spans="1:12">
      <c r="A106" s="146" t="s">
        <v>229</v>
      </c>
      <c r="B106" s="105">
        <v>77000</v>
      </c>
      <c r="C106" s="9">
        <v>37000</v>
      </c>
      <c r="D106" s="9">
        <v>15000</v>
      </c>
      <c r="E106" s="9">
        <v>3000</v>
      </c>
      <c r="F106" s="9">
        <v>22000</v>
      </c>
      <c r="G106" s="204">
        <f t="shared" si="21"/>
        <v>0.48051948051948051</v>
      </c>
      <c r="H106" s="204">
        <f t="shared" si="21"/>
        <v>0.19480519480519481</v>
      </c>
      <c r="I106" s="204">
        <f t="shared" si="21"/>
        <v>3.896103896103896E-2</v>
      </c>
      <c r="J106" s="204">
        <f t="shared" si="21"/>
        <v>0.2857142857142857</v>
      </c>
      <c r="K106" s="204">
        <f t="shared" si="18"/>
        <v>1.4875202843675141E-3</v>
      </c>
      <c r="L106" s="204">
        <f t="shared" si="19"/>
        <v>-1.4875202843675141E-3</v>
      </c>
    </row>
    <row r="107" spans="1:12">
      <c r="A107" s="117" t="s">
        <v>230</v>
      </c>
      <c r="B107" s="105">
        <v>230000</v>
      </c>
      <c r="C107" s="9">
        <v>79000</v>
      </c>
      <c r="D107" s="9">
        <v>61000</v>
      </c>
      <c r="E107" s="9">
        <v>39000</v>
      </c>
      <c r="F107" s="9">
        <v>51000</v>
      </c>
      <c r="G107" s="204">
        <f t="shared" si="21"/>
        <v>0.34347826086956523</v>
      </c>
      <c r="H107" s="204">
        <f t="shared" si="21"/>
        <v>0.26521739130434785</v>
      </c>
      <c r="I107" s="204">
        <f t="shared" si="21"/>
        <v>0.16956521739130434</v>
      </c>
      <c r="J107" s="204">
        <f t="shared" si="21"/>
        <v>0.22173913043478261</v>
      </c>
      <c r="K107" s="204">
        <f t="shared" si="18"/>
        <v>4.443242407851016E-3</v>
      </c>
      <c r="L107" s="204">
        <f t="shared" si="19"/>
        <v>-4.443242407851016E-3</v>
      </c>
    </row>
    <row r="108" spans="1:12">
      <c r="A108" s="117" t="s">
        <v>231</v>
      </c>
      <c r="B108" s="105">
        <v>390000</v>
      </c>
      <c r="C108" s="9">
        <v>317000</v>
      </c>
      <c r="D108" s="9">
        <v>13000</v>
      </c>
      <c r="E108" s="9">
        <v>1000</v>
      </c>
      <c r="F108" s="9">
        <v>59000</v>
      </c>
      <c r="G108" s="204">
        <f t="shared" si="21"/>
        <v>0.81282051282051282</v>
      </c>
      <c r="H108" s="204">
        <f t="shared" si="21"/>
        <v>3.3333333333333333E-2</v>
      </c>
      <c r="I108" s="204">
        <f t="shared" si="21"/>
        <v>2.5641025641025641E-3</v>
      </c>
      <c r="J108" s="204">
        <f t="shared" si="21"/>
        <v>0.15128205128205127</v>
      </c>
      <c r="K108" s="204">
        <f t="shared" si="18"/>
        <v>7.5341936480952014E-3</v>
      </c>
      <c r="L108" s="204">
        <f t="shared" si="19"/>
        <v>-7.5341936480952014E-3</v>
      </c>
    </row>
    <row r="109" spans="1:12">
      <c r="A109" s="116" t="s">
        <v>175</v>
      </c>
      <c r="B109" s="105">
        <v>2081000</v>
      </c>
      <c r="C109" s="9">
        <v>1180000</v>
      </c>
      <c r="D109" s="9">
        <v>127000</v>
      </c>
      <c r="E109" s="9">
        <v>586000</v>
      </c>
      <c r="F109" s="9">
        <v>188000</v>
      </c>
      <c r="G109" s="204">
        <f t="shared" si="21"/>
        <v>0.56703507928880348</v>
      </c>
      <c r="H109" s="204">
        <f t="shared" si="21"/>
        <v>6.1028351753964441E-2</v>
      </c>
      <c r="I109" s="204">
        <f t="shared" si="21"/>
        <v>0.28159538683325325</v>
      </c>
      <c r="J109" s="204">
        <f t="shared" si="21"/>
        <v>9.0341182123978861E-2</v>
      </c>
      <c r="K109" s="204">
        <f t="shared" si="18"/>
        <v>4.0201684568425933E-2</v>
      </c>
      <c r="L109" s="204">
        <f>K109</f>
        <v>4.0201684568425933E-2</v>
      </c>
    </row>
    <row r="110" spans="1:12">
      <c r="A110" s="116" t="s">
        <v>176</v>
      </c>
      <c r="B110" s="105">
        <v>8142000</v>
      </c>
      <c r="C110" s="9">
        <v>4273000</v>
      </c>
      <c r="D110" s="9">
        <v>544000</v>
      </c>
      <c r="E110" s="9">
        <v>2411000</v>
      </c>
      <c r="F110" s="9">
        <v>915000</v>
      </c>
      <c r="G110" s="204">
        <f t="shared" si="21"/>
        <v>0.52480962908376316</v>
      </c>
      <c r="H110" s="204">
        <f t="shared" si="21"/>
        <v>6.6814050601817734E-2</v>
      </c>
      <c r="I110" s="204">
        <f t="shared" si="21"/>
        <v>0.29611888970768852</v>
      </c>
      <c r="J110" s="204">
        <f t="shared" si="21"/>
        <v>0.11238025055268976</v>
      </c>
      <c r="K110" s="204">
        <f t="shared" si="18"/>
        <v>0.15729078123792598</v>
      </c>
      <c r="L110" s="204">
        <f t="shared" ref="L110:L111" si="24">K110</f>
        <v>0.15729078123792598</v>
      </c>
    </row>
    <row r="111" spans="1:12">
      <c r="A111" s="138" t="s">
        <v>50</v>
      </c>
      <c r="B111" s="136">
        <v>1371000</v>
      </c>
      <c r="C111" s="137">
        <v>589000</v>
      </c>
      <c r="D111" s="137">
        <v>518000</v>
      </c>
      <c r="E111" s="137">
        <v>144000</v>
      </c>
      <c r="F111" s="137">
        <v>120000</v>
      </c>
      <c r="G111" s="283">
        <f t="shared" si="21"/>
        <v>0.42961342086068566</v>
      </c>
      <c r="H111" s="283">
        <f t="shared" si="21"/>
        <v>0.37782640408460977</v>
      </c>
      <c r="I111" s="283">
        <f t="shared" si="21"/>
        <v>0.10503282275711159</v>
      </c>
      <c r="J111" s="283">
        <f t="shared" si="21"/>
        <v>8.7527352297592995E-2</v>
      </c>
      <c r="K111" s="283">
        <f t="shared" si="18"/>
        <v>2.6485588439842361E-2</v>
      </c>
      <c r="L111" s="283">
        <f t="shared" si="24"/>
        <v>2.6485588439842361E-2</v>
      </c>
    </row>
    <row r="112" spans="1:12">
      <c r="A112" s="139" t="s">
        <v>174</v>
      </c>
      <c r="B112" s="105">
        <v>535000</v>
      </c>
      <c r="C112" s="9">
        <v>210000</v>
      </c>
      <c r="D112" s="9">
        <v>246000</v>
      </c>
      <c r="E112" s="9">
        <v>24000</v>
      </c>
      <c r="F112" s="9">
        <v>56000</v>
      </c>
      <c r="G112" s="204">
        <f t="shared" si="21"/>
        <v>0.3925233644859813</v>
      </c>
      <c r="H112" s="204">
        <f t="shared" si="21"/>
        <v>0.45981308411214955</v>
      </c>
      <c r="I112" s="204">
        <f t="shared" si="21"/>
        <v>4.4859813084112146E-2</v>
      </c>
      <c r="J112" s="204">
        <f t="shared" si="21"/>
        <v>0.10467289719626169</v>
      </c>
      <c r="K112" s="204">
        <f t="shared" si="18"/>
        <v>1.0335368209566494E-2</v>
      </c>
      <c r="L112" s="204">
        <f t="shared" si="19"/>
        <v>-1.0335368209566494E-2</v>
      </c>
    </row>
    <row r="113" spans="1:12">
      <c r="A113" s="140" t="s">
        <v>227</v>
      </c>
      <c r="B113" s="106">
        <v>152000</v>
      </c>
      <c r="C113" s="11">
        <v>58000</v>
      </c>
      <c r="D113" s="11">
        <v>72000</v>
      </c>
      <c r="E113" s="11">
        <v>5000</v>
      </c>
      <c r="F113" s="11">
        <v>16000</v>
      </c>
      <c r="G113" s="204">
        <f t="shared" si="21"/>
        <v>0.38157894736842107</v>
      </c>
      <c r="H113" s="204">
        <f t="shared" si="21"/>
        <v>0.47368421052631576</v>
      </c>
      <c r="I113" s="204">
        <f t="shared" si="21"/>
        <v>3.2894736842105261E-2</v>
      </c>
      <c r="J113" s="204">
        <f t="shared" si="21"/>
        <v>0.10526315789473684</v>
      </c>
      <c r="K113" s="204">
        <f t="shared" si="18"/>
        <v>2.936403678231976E-3</v>
      </c>
      <c r="L113" s="204">
        <f t="shared" si="19"/>
        <v>-2.936403678231976E-3</v>
      </c>
    </row>
    <row r="114" spans="1:12">
      <c r="A114" s="140" t="s">
        <v>228</v>
      </c>
      <c r="B114" s="106">
        <v>75000</v>
      </c>
      <c r="C114" s="11">
        <v>38000</v>
      </c>
      <c r="D114" s="11">
        <v>32000</v>
      </c>
      <c r="E114" s="16" t="s">
        <v>191</v>
      </c>
      <c r="F114" s="11">
        <v>3000</v>
      </c>
      <c r="G114" s="204">
        <f t="shared" si="21"/>
        <v>0.50666666666666671</v>
      </c>
      <c r="H114" s="204">
        <f t="shared" si="21"/>
        <v>0.42666666666666669</v>
      </c>
      <c r="I114" s="204" t="e">
        <f t="shared" si="21"/>
        <v>#VALUE!</v>
      </c>
      <c r="J114" s="204">
        <f t="shared" si="21"/>
        <v>0.04</v>
      </c>
      <c r="K114" s="204">
        <f t="shared" si="18"/>
        <v>1.4488833938644619E-3</v>
      </c>
      <c r="L114" s="204">
        <f t="shared" si="19"/>
        <v>-1.4488833938644619E-3</v>
      </c>
    </row>
    <row r="115" spans="1:12">
      <c r="A115" s="149" t="s">
        <v>229</v>
      </c>
      <c r="B115" s="105">
        <v>72000</v>
      </c>
      <c r="C115" s="9">
        <v>22000</v>
      </c>
      <c r="D115" s="9">
        <v>33000</v>
      </c>
      <c r="E115" s="9">
        <v>2000</v>
      </c>
      <c r="F115" s="9">
        <v>15000</v>
      </c>
      <c r="G115" s="204">
        <f t="shared" si="21"/>
        <v>0.30555555555555558</v>
      </c>
      <c r="H115" s="204">
        <f t="shared" si="21"/>
        <v>0.45833333333333331</v>
      </c>
      <c r="I115" s="204">
        <f t="shared" si="21"/>
        <v>2.7777777777777776E-2</v>
      </c>
      <c r="J115" s="204">
        <f t="shared" si="21"/>
        <v>0.20833333333333334</v>
      </c>
      <c r="K115" s="204">
        <f t="shared" si="18"/>
        <v>1.3909280581098833E-3</v>
      </c>
      <c r="L115" s="204">
        <f t="shared" si="19"/>
        <v>-1.3909280581098833E-3</v>
      </c>
    </row>
    <row r="116" spans="1:12">
      <c r="A116" s="140" t="s">
        <v>230</v>
      </c>
      <c r="B116" s="105">
        <v>176000</v>
      </c>
      <c r="C116" s="9">
        <v>58000</v>
      </c>
      <c r="D116" s="9">
        <v>88000</v>
      </c>
      <c r="E116" s="9">
        <v>15000</v>
      </c>
      <c r="F116" s="9">
        <v>15000</v>
      </c>
      <c r="G116" s="204">
        <f t="shared" si="21"/>
        <v>0.32954545454545453</v>
      </c>
      <c r="H116" s="204">
        <f t="shared" si="21"/>
        <v>0.5</v>
      </c>
      <c r="I116" s="204">
        <f t="shared" si="21"/>
        <v>8.5227272727272721E-2</v>
      </c>
      <c r="J116" s="204">
        <f t="shared" si="21"/>
        <v>8.5227272727272721E-2</v>
      </c>
      <c r="K116" s="204">
        <f t="shared" si="18"/>
        <v>3.4000463642686034E-3</v>
      </c>
      <c r="L116" s="204">
        <f t="shared" si="19"/>
        <v>-3.4000463642686034E-3</v>
      </c>
    </row>
    <row r="117" spans="1:12">
      <c r="A117" s="140" t="s">
        <v>231</v>
      </c>
      <c r="B117" s="105">
        <v>60000</v>
      </c>
      <c r="C117" s="9">
        <v>34000</v>
      </c>
      <c r="D117" s="9">
        <v>20000</v>
      </c>
      <c r="E117" s="13" t="s">
        <v>220</v>
      </c>
      <c r="F117" s="9">
        <v>6000</v>
      </c>
      <c r="G117" s="204">
        <f t="shared" si="21"/>
        <v>0.56666666666666665</v>
      </c>
      <c r="H117" s="204">
        <f t="shared" si="21"/>
        <v>0.33333333333333331</v>
      </c>
      <c r="I117" s="204" t="e">
        <f t="shared" si="21"/>
        <v>#VALUE!</v>
      </c>
      <c r="J117" s="204">
        <f t="shared" si="21"/>
        <v>0.1</v>
      </c>
      <c r="K117" s="204">
        <f t="shared" si="18"/>
        <v>1.1591067150915695E-3</v>
      </c>
      <c r="L117" s="204">
        <f t="shared" si="19"/>
        <v>-1.1591067150915695E-3</v>
      </c>
    </row>
    <row r="118" spans="1:12">
      <c r="A118" s="139" t="s">
        <v>175</v>
      </c>
      <c r="B118" s="105">
        <v>247000</v>
      </c>
      <c r="C118" s="9">
        <v>141000</v>
      </c>
      <c r="D118" s="9">
        <v>51000</v>
      </c>
      <c r="E118" s="9">
        <v>27000</v>
      </c>
      <c r="F118" s="9">
        <v>28000</v>
      </c>
      <c r="G118" s="204">
        <f t="shared" si="21"/>
        <v>0.57085020242914974</v>
      </c>
      <c r="H118" s="204">
        <f t="shared" si="21"/>
        <v>0.20647773279352227</v>
      </c>
      <c r="I118" s="204">
        <f t="shared" si="21"/>
        <v>0.10931174089068826</v>
      </c>
      <c r="J118" s="204">
        <f t="shared" si="21"/>
        <v>0.11336032388663968</v>
      </c>
      <c r="K118" s="204">
        <f t="shared" si="18"/>
        <v>4.7716559771269606E-3</v>
      </c>
      <c r="L118" s="204">
        <f t="shared" si="19"/>
        <v>-4.7716559771269606E-3</v>
      </c>
    </row>
    <row r="119" spans="1:12">
      <c r="A119" s="139" t="s">
        <v>176</v>
      </c>
      <c r="B119" s="105">
        <v>588000</v>
      </c>
      <c r="C119" s="9">
        <v>238000</v>
      </c>
      <c r="D119" s="9">
        <v>221000</v>
      </c>
      <c r="E119" s="9">
        <v>93000</v>
      </c>
      <c r="F119" s="9">
        <v>36000</v>
      </c>
      <c r="G119" s="204">
        <f t="shared" si="21"/>
        <v>0.40476190476190477</v>
      </c>
      <c r="H119" s="204">
        <f t="shared" si="21"/>
        <v>0.37585034013605439</v>
      </c>
      <c r="I119" s="204">
        <f t="shared" si="21"/>
        <v>0.15816326530612246</v>
      </c>
      <c r="J119" s="204">
        <f t="shared" si="21"/>
        <v>6.1224489795918366E-2</v>
      </c>
      <c r="K119" s="204">
        <f t="shared" si="18"/>
        <v>1.135924580789738E-2</v>
      </c>
      <c r="L119" s="204">
        <f>K119</f>
        <v>1.135924580789738E-2</v>
      </c>
    </row>
    <row r="120" spans="1:12">
      <c r="A120" s="112" t="s">
        <v>223</v>
      </c>
      <c r="B120" s="109">
        <v>2722000</v>
      </c>
      <c r="C120" s="104">
        <v>2047000</v>
      </c>
      <c r="D120" s="104">
        <v>216000</v>
      </c>
      <c r="E120" s="104">
        <v>62000</v>
      </c>
      <c r="F120" s="104">
        <v>396000</v>
      </c>
    </row>
    <row r="121" spans="1:12">
      <c r="A121" s="163" t="s">
        <v>174</v>
      </c>
      <c r="B121" s="105">
        <v>61000</v>
      </c>
      <c r="C121" s="9">
        <v>36000</v>
      </c>
      <c r="D121" s="9">
        <v>11000</v>
      </c>
      <c r="E121" s="9">
        <v>4000</v>
      </c>
      <c r="F121" s="9">
        <v>11000</v>
      </c>
    </row>
    <row r="122" spans="1:12">
      <c r="A122" s="163" t="s">
        <v>175</v>
      </c>
      <c r="B122" s="105">
        <v>1214000</v>
      </c>
      <c r="C122" s="9">
        <v>968000</v>
      </c>
      <c r="D122" s="9">
        <v>168000</v>
      </c>
      <c r="E122" s="9">
        <v>9000</v>
      </c>
      <c r="F122" s="9">
        <v>69000</v>
      </c>
    </row>
    <row r="123" spans="1:12">
      <c r="A123" s="163" t="s">
        <v>176</v>
      </c>
      <c r="B123" s="110">
        <v>1447000</v>
      </c>
      <c r="C123" s="21">
        <v>1044000</v>
      </c>
      <c r="D123" s="21">
        <v>38000</v>
      </c>
      <c r="E123" s="21">
        <v>49000</v>
      </c>
      <c r="F123" s="21">
        <v>316000</v>
      </c>
    </row>
    <row r="124" spans="1:12">
      <c r="A124" s="421" t="s">
        <v>594</v>
      </c>
      <c r="B124" s="421"/>
      <c r="C124" s="421"/>
      <c r="D124" s="421"/>
      <c r="E124" s="421"/>
      <c r="F124" s="421"/>
      <c r="G124" s="421"/>
    </row>
    <row r="125" spans="1:12">
      <c r="A125" s="420" t="s">
        <v>595</v>
      </c>
      <c r="B125" s="420"/>
      <c r="C125" s="420"/>
      <c r="D125" s="420"/>
      <c r="E125" s="420"/>
      <c r="F125" s="420"/>
      <c r="G125" s="420"/>
    </row>
  </sheetData>
  <mergeCells count="3">
    <mergeCell ref="A1:G1"/>
    <mergeCell ref="A124:G124"/>
    <mergeCell ref="A125:G125"/>
  </mergeCells>
  <conditionalFormatting sqref="K3:K119">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44"/>
  <sheetViews>
    <sheetView topLeftCell="A34" workbookViewId="0">
      <selection activeCell="A4" sqref="A4:J44"/>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10" customWidth="1"/>
  </cols>
  <sheetData>
    <row r="1" spans="1:10" ht="39" customHeight="1">
      <c r="A1" s="420" t="s">
        <v>582</v>
      </c>
      <c r="B1" s="420"/>
      <c r="C1" s="420"/>
      <c r="D1" s="420"/>
      <c r="E1" s="420"/>
      <c r="F1" s="420"/>
      <c r="G1" s="420"/>
    </row>
    <row r="2" spans="1:10" ht="1.95" customHeight="1"/>
    <row r="3" spans="1:10" ht="27.75" customHeight="1">
      <c r="A3" s="101" t="s">
        <v>583</v>
      </c>
      <c r="B3" s="46" t="s">
        <v>167</v>
      </c>
      <c r="C3" s="82" t="s">
        <v>252</v>
      </c>
      <c r="D3" s="83" t="s">
        <v>258</v>
      </c>
      <c r="E3" s="82" t="s">
        <v>259</v>
      </c>
      <c r="F3" s="84" t="s">
        <v>584</v>
      </c>
      <c r="G3" s="235" t="s">
        <v>585</v>
      </c>
      <c r="H3" s="235" t="s">
        <v>586</v>
      </c>
      <c r="I3" s="235" t="s">
        <v>587</v>
      </c>
      <c r="J3" s="236" t="s">
        <v>588</v>
      </c>
    </row>
    <row r="4" spans="1:10" ht="24.75" customHeight="1">
      <c r="A4" s="131" t="s">
        <v>227</v>
      </c>
      <c r="B4" s="142">
        <v>246000</v>
      </c>
      <c r="C4" s="29">
        <v>105000</v>
      </c>
      <c r="D4" s="29">
        <v>114000</v>
      </c>
      <c r="E4" s="29">
        <v>3000</v>
      </c>
      <c r="F4" s="29">
        <v>24000</v>
      </c>
      <c r="G4" s="204">
        <f>C4/$B4</f>
        <v>0.42682926829268292</v>
      </c>
      <c r="H4" s="204">
        <f t="shared" ref="H4:J4" si="0">D4/$B4</f>
        <v>0.46341463414634149</v>
      </c>
      <c r="I4" s="204">
        <f t="shared" si="0"/>
        <v>1.2195121951219513E-2</v>
      </c>
      <c r="J4" s="204">
        <f t="shared" si="0"/>
        <v>9.7560975609756101E-2</v>
      </c>
    </row>
    <row r="5" spans="1:10" ht="24.75" customHeight="1">
      <c r="A5" s="131" t="s">
        <v>228</v>
      </c>
      <c r="B5" s="106">
        <v>1325000</v>
      </c>
      <c r="C5" s="11">
        <v>1173000</v>
      </c>
      <c r="D5" s="11">
        <v>83000</v>
      </c>
      <c r="E5" s="11">
        <v>15000</v>
      </c>
      <c r="F5" s="11">
        <v>54000</v>
      </c>
      <c r="G5" s="204">
        <f t="shared" ref="G5:G44" si="1">C5/$B5</f>
        <v>0.88528301886792449</v>
      </c>
      <c r="H5" s="204">
        <f t="shared" ref="H5:H44" si="2">D5/$B5</f>
        <v>6.2641509433962267E-2</v>
      </c>
      <c r="I5" s="204">
        <f t="shared" ref="I5:I44" si="3">E5/$B5</f>
        <v>1.1320754716981131E-2</v>
      </c>
      <c r="J5" s="204">
        <f t="shared" ref="J5:J44" si="4">F5/$B5</f>
        <v>4.0754716981132075E-2</v>
      </c>
    </row>
    <row r="6" spans="1:10" ht="12.45" customHeight="1">
      <c r="A6" s="131" t="s">
        <v>229</v>
      </c>
      <c r="B6" s="105">
        <v>99000</v>
      </c>
      <c r="C6" s="9">
        <v>29000</v>
      </c>
      <c r="D6" s="9">
        <v>59000</v>
      </c>
      <c r="E6" s="9">
        <v>1000</v>
      </c>
      <c r="F6" s="9">
        <v>11000</v>
      </c>
      <c r="G6" s="204">
        <f t="shared" si="1"/>
        <v>0.29292929292929293</v>
      </c>
      <c r="H6" s="204">
        <f t="shared" si="2"/>
        <v>0.59595959595959591</v>
      </c>
      <c r="I6" s="204">
        <f t="shared" si="3"/>
        <v>1.0101010101010102E-2</v>
      </c>
      <c r="J6" s="204">
        <f t="shared" si="4"/>
        <v>0.1111111111111111</v>
      </c>
    </row>
    <row r="7" spans="1:10" ht="12.45" customHeight="1">
      <c r="A7" s="131" t="s">
        <v>230</v>
      </c>
      <c r="B7" s="105">
        <v>129000</v>
      </c>
      <c r="C7" s="9">
        <v>37000</v>
      </c>
      <c r="D7" s="9">
        <v>71000</v>
      </c>
      <c r="E7" s="9">
        <v>7000</v>
      </c>
      <c r="F7" s="9">
        <v>14000</v>
      </c>
      <c r="G7" s="204">
        <f t="shared" si="1"/>
        <v>0.2868217054263566</v>
      </c>
      <c r="H7" s="204">
        <f t="shared" si="2"/>
        <v>0.55038759689922478</v>
      </c>
      <c r="I7" s="204">
        <f t="shared" si="3"/>
        <v>5.4263565891472867E-2</v>
      </c>
      <c r="J7" s="204">
        <f t="shared" si="4"/>
        <v>0.10852713178294573</v>
      </c>
    </row>
    <row r="8" spans="1:10" ht="12.45" customHeight="1">
      <c r="A8" s="131" t="s">
        <v>231</v>
      </c>
      <c r="B8" s="105">
        <v>462000</v>
      </c>
      <c r="C8" s="9">
        <v>353000</v>
      </c>
      <c r="D8" s="9">
        <v>62000</v>
      </c>
      <c r="E8" s="9">
        <v>1000</v>
      </c>
      <c r="F8" s="9">
        <v>46000</v>
      </c>
      <c r="G8" s="204">
        <f t="shared" si="1"/>
        <v>0.76406926406926412</v>
      </c>
      <c r="H8" s="204">
        <f t="shared" si="2"/>
        <v>0.13419913419913421</v>
      </c>
      <c r="I8" s="204">
        <f t="shared" si="3"/>
        <v>2.1645021645021645E-3</v>
      </c>
      <c r="J8" s="204">
        <f t="shared" si="4"/>
        <v>9.9567099567099568E-2</v>
      </c>
    </row>
    <row r="9" spans="1:10" ht="12.45" customHeight="1">
      <c r="A9" s="130" t="s">
        <v>175</v>
      </c>
      <c r="B9" s="105">
        <v>1930000</v>
      </c>
      <c r="C9" s="9">
        <v>1517000</v>
      </c>
      <c r="D9" s="9">
        <v>188000</v>
      </c>
      <c r="E9" s="9">
        <v>74000</v>
      </c>
      <c r="F9" s="9">
        <v>152000</v>
      </c>
      <c r="G9" s="204">
        <f t="shared" si="1"/>
        <v>0.78601036269430047</v>
      </c>
      <c r="H9" s="204">
        <f t="shared" si="2"/>
        <v>9.7409326424870463E-2</v>
      </c>
      <c r="I9" s="204">
        <f t="shared" si="3"/>
        <v>3.8341968911917101E-2</v>
      </c>
      <c r="J9" s="204">
        <f t="shared" si="4"/>
        <v>7.8756476683937829E-2</v>
      </c>
    </row>
    <row r="10" spans="1:10" ht="12.45" customHeight="1">
      <c r="A10" s="130" t="s">
        <v>176</v>
      </c>
      <c r="B10" s="105">
        <v>5120000</v>
      </c>
      <c r="C10" s="9">
        <v>3814000</v>
      </c>
      <c r="D10" s="9">
        <v>255000</v>
      </c>
      <c r="E10" s="9">
        <v>540000</v>
      </c>
      <c r="F10" s="9">
        <v>511000</v>
      </c>
      <c r="G10" s="204">
        <f t="shared" si="1"/>
        <v>0.74492187499999996</v>
      </c>
      <c r="H10" s="204">
        <f t="shared" si="2"/>
        <v>4.98046875E-2</v>
      </c>
      <c r="I10" s="204">
        <f t="shared" si="3"/>
        <v>0.10546875</v>
      </c>
      <c r="J10" s="204">
        <f t="shared" si="4"/>
        <v>9.9804687500000003E-2</v>
      </c>
    </row>
    <row r="11" spans="1:10" ht="12.45" customHeight="1">
      <c r="A11" s="120" t="s">
        <v>218</v>
      </c>
      <c r="B11" s="124">
        <v>5036000</v>
      </c>
      <c r="C11" s="119">
        <v>3977000</v>
      </c>
      <c r="D11" s="119">
        <v>233000</v>
      </c>
      <c r="E11" s="119">
        <v>345000</v>
      </c>
      <c r="F11" s="119">
        <v>481000</v>
      </c>
      <c r="G11" s="204">
        <f t="shared" si="1"/>
        <v>0.789714058776807</v>
      </c>
      <c r="H11" s="204">
        <f t="shared" si="2"/>
        <v>4.6266878474980143E-2</v>
      </c>
      <c r="I11" s="204">
        <f t="shared" si="3"/>
        <v>6.8506751389992057E-2</v>
      </c>
      <c r="J11" s="204">
        <f t="shared" si="4"/>
        <v>9.5512311358220817E-2</v>
      </c>
    </row>
    <row r="12" spans="1:10" ht="12.45" customHeight="1">
      <c r="A12" s="121" t="s">
        <v>174</v>
      </c>
      <c r="B12" s="105">
        <v>887000</v>
      </c>
      <c r="C12" s="9">
        <v>748000</v>
      </c>
      <c r="D12" s="9">
        <v>68000</v>
      </c>
      <c r="E12" s="9">
        <v>8000</v>
      </c>
      <c r="F12" s="9">
        <v>62000</v>
      </c>
      <c r="G12" s="204">
        <f t="shared" si="1"/>
        <v>0.84329199549041711</v>
      </c>
      <c r="H12" s="204">
        <f t="shared" si="2"/>
        <v>7.6662908680947009E-2</v>
      </c>
      <c r="I12" s="204">
        <f t="shared" si="3"/>
        <v>9.0191657271702363E-3</v>
      </c>
      <c r="J12" s="204">
        <f t="shared" si="4"/>
        <v>6.9898534385569339E-2</v>
      </c>
    </row>
    <row r="13" spans="1:10" ht="24.75" customHeight="1">
      <c r="A13" s="122" t="s">
        <v>227</v>
      </c>
      <c r="B13" s="106">
        <v>46000</v>
      </c>
      <c r="C13" s="11">
        <v>22000</v>
      </c>
      <c r="D13" s="11">
        <v>18000</v>
      </c>
      <c r="E13" s="16" t="s">
        <v>220</v>
      </c>
      <c r="F13" s="16" t="s">
        <v>191</v>
      </c>
      <c r="G13" s="204">
        <f t="shared" si="1"/>
        <v>0.47826086956521741</v>
      </c>
      <c r="H13" s="204">
        <f t="shared" si="2"/>
        <v>0.39130434782608697</v>
      </c>
      <c r="I13" s="204" t="e">
        <f t="shared" si="3"/>
        <v>#VALUE!</v>
      </c>
      <c r="J13" s="204" t="e">
        <f t="shared" si="4"/>
        <v>#VALUE!</v>
      </c>
    </row>
    <row r="14" spans="1:10" ht="24.75" customHeight="1">
      <c r="A14" s="122" t="s">
        <v>228</v>
      </c>
      <c r="B14" s="106">
        <v>612000</v>
      </c>
      <c r="C14" s="11">
        <v>560000</v>
      </c>
      <c r="D14" s="11">
        <v>21000</v>
      </c>
      <c r="E14" s="11">
        <v>7000</v>
      </c>
      <c r="F14" s="11">
        <v>24000</v>
      </c>
      <c r="G14" s="204">
        <f t="shared" si="1"/>
        <v>0.91503267973856206</v>
      </c>
      <c r="H14" s="204">
        <f t="shared" si="2"/>
        <v>3.4313725490196081E-2</v>
      </c>
      <c r="I14" s="204">
        <f t="shared" si="3"/>
        <v>1.1437908496732025E-2</v>
      </c>
      <c r="J14" s="204">
        <f t="shared" si="4"/>
        <v>3.9215686274509803E-2</v>
      </c>
    </row>
    <row r="15" spans="1:10" ht="12.45" customHeight="1">
      <c r="A15" s="195" t="s">
        <v>229</v>
      </c>
      <c r="B15" s="105">
        <v>20000</v>
      </c>
      <c r="C15" s="9">
        <v>7000</v>
      </c>
      <c r="D15" s="9">
        <v>10000</v>
      </c>
      <c r="E15" s="13" t="s">
        <v>220</v>
      </c>
      <c r="F15" s="9">
        <v>2000</v>
      </c>
      <c r="G15" s="204">
        <f t="shared" si="1"/>
        <v>0.35</v>
      </c>
      <c r="H15" s="204">
        <f t="shared" si="2"/>
        <v>0.5</v>
      </c>
      <c r="I15" s="204" t="e">
        <f t="shared" si="3"/>
        <v>#VALUE!</v>
      </c>
      <c r="J15" s="204">
        <f t="shared" si="4"/>
        <v>0.1</v>
      </c>
    </row>
    <row r="16" spans="1:10" ht="12.45" customHeight="1">
      <c r="A16" s="122" t="s">
        <v>230</v>
      </c>
      <c r="B16" s="105">
        <v>22000</v>
      </c>
      <c r="C16" s="9">
        <v>7000</v>
      </c>
      <c r="D16" s="13" t="s">
        <v>191</v>
      </c>
      <c r="E16" s="13" t="s">
        <v>220</v>
      </c>
      <c r="F16" s="9">
        <v>7000</v>
      </c>
      <c r="G16" s="204">
        <f t="shared" si="1"/>
        <v>0.31818181818181818</v>
      </c>
      <c r="H16" s="204" t="e">
        <f t="shared" si="2"/>
        <v>#VALUE!</v>
      </c>
      <c r="I16" s="204" t="e">
        <f t="shared" si="3"/>
        <v>#VALUE!</v>
      </c>
      <c r="J16" s="204">
        <f t="shared" si="4"/>
        <v>0.31818181818181818</v>
      </c>
    </row>
    <row r="17" spans="1:10" ht="12.45" customHeight="1">
      <c r="A17" s="122" t="s">
        <v>231</v>
      </c>
      <c r="B17" s="105">
        <v>187000</v>
      </c>
      <c r="C17" s="9">
        <v>152000</v>
      </c>
      <c r="D17" s="9">
        <v>12000</v>
      </c>
      <c r="E17" s="13" t="s">
        <v>220</v>
      </c>
      <c r="F17" s="9">
        <v>23000</v>
      </c>
      <c r="G17" s="204">
        <f t="shared" si="1"/>
        <v>0.81283422459893051</v>
      </c>
      <c r="H17" s="204">
        <f t="shared" si="2"/>
        <v>6.4171122994652413E-2</v>
      </c>
      <c r="I17" s="204" t="e">
        <f t="shared" si="3"/>
        <v>#VALUE!</v>
      </c>
      <c r="J17" s="204">
        <f t="shared" si="4"/>
        <v>0.12299465240641712</v>
      </c>
    </row>
    <row r="18" spans="1:10" ht="12.45" customHeight="1">
      <c r="A18" s="121" t="s">
        <v>175</v>
      </c>
      <c r="B18" s="105">
        <v>981000</v>
      </c>
      <c r="C18" s="9">
        <v>804000</v>
      </c>
      <c r="D18" s="9">
        <v>62000</v>
      </c>
      <c r="E18" s="9">
        <v>34000</v>
      </c>
      <c r="F18" s="9">
        <v>82000</v>
      </c>
      <c r="G18" s="204">
        <f t="shared" si="1"/>
        <v>0.81957186544342508</v>
      </c>
      <c r="H18" s="204">
        <f t="shared" si="2"/>
        <v>6.3200815494393478E-2</v>
      </c>
      <c r="I18" s="204">
        <f t="shared" si="3"/>
        <v>3.4658511722731905E-2</v>
      </c>
      <c r="J18" s="204">
        <f t="shared" si="4"/>
        <v>8.3588175331294604E-2</v>
      </c>
    </row>
    <row r="19" spans="1:10" ht="12.45" customHeight="1">
      <c r="A19" s="121" t="s">
        <v>176</v>
      </c>
      <c r="B19" s="105">
        <v>3168000</v>
      </c>
      <c r="C19" s="9">
        <v>2426000</v>
      </c>
      <c r="D19" s="9">
        <v>102000</v>
      </c>
      <c r="E19" s="9">
        <v>303000</v>
      </c>
      <c r="F19" s="9">
        <v>337000</v>
      </c>
      <c r="G19" s="204">
        <f t="shared" si="1"/>
        <v>0.76578282828282829</v>
      </c>
      <c r="H19" s="204">
        <f t="shared" si="2"/>
        <v>3.2196969696969696E-2</v>
      </c>
      <c r="I19" s="204">
        <f t="shared" si="3"/>
        <v>9.5643939393939392E-2</v>
      </c>
      <c r="J19" s="204">
        <f t="shared" si="4"/>
        <v>0.10637626262626262</v>
      </c>
    </row>
    <row r="20" spans="1:10" ht="12.45" customHeight="1">
      <c r="A20" s="115" t="s">
        <v>219</v>
      </c>
      <c r="B20" s="144">
        <v>2980000</v>
      </c>
      <c r="C20" s="143">
        <v>2232000</v>
      </c>
      <c r="D20" s="143">
        <v>244000</v>
      </c>
      <c r="E20" s="143">
        <v>264000</v>
      </c>
      <c r="F20" s="143">
        <v>240000</v>
      </c>
      <c r="G20" s="204">
        <f t="shared" si="1"/>
        <v>0.74899328859060399</v>
      </c>
      <c r="H20" s="204">
        <f t="shared" si="2"/>
        <v>8.1879194630872482E-2</v>
      </c>
      <c r="I20" s="204">
        <f t="shared" si="3"/>
        <v>8.859060402684564E-2</v>
      </c>
      <c r="J20" s="204">
        <f t="shared" si="4"/>
        <v>8.0536912751677847E-2</v>
      </c>
    </row>
    <row r="21" spans="1:10" ht="12.45" customHeight="1">
      <c r="A21" s="116" t="s">
        <v>174</v>
      </c>
      <c r="B21" s="105">
        <v>926000</v>
      </c>
      <c r="C21" s="9">
        <v>737000</v>
      </c>
      <c r="D21" s="9">
        <v>122000</v>
      </c>
      <c r="E21" s="9">
        <v>13000</v>
      </c>
      <c r="F21" s="9">
        <v>54000</v>
      </c>
      <c r="G21" s="204">
        <f t="shared" si="1"/>
        <v>0.79589632829373647</v>
      </c>
      <c r="H21" s="204">
        <f t="shared" si="2"/>
        <v>0.13174946004319654</v>
      </c>
      <c r="I21" s="204">
        <f t="shared" si="3"/>
        <v>1.4038876889848811E-2</v>
      </c>
      <c r="J21" s="204">
        <f t="shared" si="4"/>
        <v>5.8315334773218146E-2</v>
      </c>
    </row>
    <row r="22" spans="1:10" ht="24.75" customHeight="1">
      <c r="A22" s="117" t="s">
        <v>227</v>
      </c>
      <c r="B22" s="106">
        <v>52000</v>
      </c>
      <c r="C22" s="11">
        <v>26000</v>
      </c>
      <c r="D22" s="11">
        <v>21000</v>
      </c>
      <c r="E22" s="16" t="s">
        <v>220</v>
      </c>
      <c r="F22" s="11">
        <v>6000</v>
      </c>
      <c r="G22" s="204">
        <f t="shared" si="1"/>
        <v>0.5</v>
      </c>
      <c r="H22" s="204">
        <f t="shared" si="2"/>
        <v>0.40384615384615385</v>
      </c>
      <c r="I22" s="204" t="e">
        <f t="shared" si="3"/>
        <v>#VALUE!</v>
      </c>
      <c r="J22" s="204">
        <f t="shared" si="4"/>
        <v>0.11538461538461539</v>
      </c>
    </row>
    <row r="23" spans="1:10" ht="24.75" customHeight="1">
      <c r="A23" s="117" t="s">
        <v>228</v>
      </c>
      <c r="B23" s="106">
        <v>599000</v>
      </c>
      <c r="C23" s="11">
        <v>536000</v>
      </c>
      <c r="D23" s="11">
        <v>32000</v>
      </c>
      <c r="E23" s="11">
        <v>6000</v>
      </c>
      <c r="F23" s="11">
        <v>25000</v>
      </c>
      <c r="G23" s="204">
        <f t="shared" si="1"/>
        <v>0.89482470784641066</v>
      </c>
      <c r="H23" s="204">
        <f t="shared" si="2"/>
        <v>5.3422370617696162E-2</v>
      </c>
      <c r="I23" s="204">
        <f t="shared" si="3"/>
        <v>1.001669449081803E-2</v>
      </c>
      <c r="J23" s="204">
        <f t="shared" si="4"/>
        <v>4.1736227045075125E-2</v>
      </c>
    </row>
    <row r="24" spans="1:10" ht="12.45" customHeight="1">
      <c r="A24" s="146" t="s">
        <v>229</v>
      </c>
      <c r="B24" s="105">
        <v>27000</v>
      </c>
      <c r="C24" s="9">
        <v>7000</v>
      </c>
      <c r="D24" s="9">
        <v>18000</v>
      </c>
      <c r="E24" s="13" t="s">
        <v>220</v>
      </c>
      <c r="F24" s="9">
        <v>2000</v>
      </c>
      <c r="G24" s="204">
        <f t="shared" si="1"/>
        <v>0.25925925925925924</v>
      </c>
      <c r="H24" s="204">
        <f t="shared" si="2"/>
        <v>0.66666666666666663</v>
      </c>
      <c r="I24" s="204" t="e">
        <f t="shared" si="3"/>
        <v>#VALUE!</v>
      </c>
      <c r="J24" s="204">
        <f t="shared" si="4"/>
        <v>7.407407407407407E-2</v>
      </c>
    </row>
    <row r="25" spans="1:10" ht="12.45" customHeight="1">
      <c r="A25" s="117" t="s">
        <v>230</v>
      </c>
      <c r="B25" s="105">
        <v>53000</v>
      </c>
      <c r="C25" s="9">
        <v>17000</v>
      </c>
      <c r="D25" s="9">
        <v>27000</v>
      </c>
      <c r="E25" s="9">
        <v>6000</v>
      </c>
      <c r="F25" s="9">
        <v>3000</v>
      </c>
      <c r="G25" s="204">
        <f t="shared" si="1"/>
        <v>0.32075471698113206</v>
      </c>
      <c r="H25" s="204">
        <f t="shared" si="2"/>
        <v>0.50943396226415094</v>
      </c>
      <c r="I25" s="204">
        <f t="shared" si="3"/>
        <v>0.11320754716981132</v>
      </c>
      <c r="J25" s="204">
        <f t="shared" si="4"/>
        <v>5.6603773584905662E-2</v>
      </c>
    </row>
    <row r="26" spans="1:10" ht="12.45" customHeight="1">
      <c r="A26" s="117" t="s">
        <v>231</v>
      </c>
      <c r="B26" s="105">
        <v>194000</v>
      </c>
      <c r="C26" s="9">
        <v>151000</v>
      </c>
      <c r="D26" s="9">
        <v>24000</v>
      </c>
      <c r="E26" s="13" t="s">
        <v>220</v>
      </c>
      <c r="F26" s="9">
        <v>19000</v>
      </c>
      <c r="G26" s="204">
        <f t="shared" si="1"/>
        <v>0.77835051546391754</v>
      </c>
      <c r="H26" s="204">
        <f t="shared" si="2"/>
        <v>0.12371134020618557</v>
      </c>
      <c r="I26" s="204" t="e">
        <f t="shared" si="3"/>
        <v>#VALUE!</v>
      </c>
      <c r="J26" s="204">
        <f t="shared" si="4"/>
        <v>9.7938144329896906E-2</v>
      </c>
    </row>
    <row r="27" spans="1:10" ht="12.45" customHeight="1">
      <c r="A27" s="116" t="s">
        <v>175</v>
      </c>
      <c r="B27" s="105">
        <v>497000</v>
      </c>
      <c r="C27" s="9">
        <v>376000</v>
      </c>
      <c r="D27" s="9">
        <v>36000</v>
      </c>
      <c r="E27" s="9">
        <v>33000</v>
      </c>
      <c r="F27" s="9">
        <v>52000</v>
      </c>
      <c r="G27" s="204">
        <f t="shared" si="1"/>
        <v>0.75653923541247481</v>
      </c>
      <c r="H27" s="204">
        <f t="shared" si="2"/>
        <v>7.2434607645875254E-2</v>
      </c>
      <c r="I27" s="204">
        <f t="shared" si="3"/>
        <v>6.6398390342052319E-2</v>
      </c>
      <c r="J27" s="204">
        <f t="shared" si="4"/>
        <v>0.10462776659959759</v>
      </c>
    </row>
    <row r="28" spans="1:10" ht="12.45" customHeight="1">
      <c r="A28" s="116" t="s">
        <v>176</v>
      </c>
      <c r="B28" s="105">
        <v>1557000</v>
      </c>
      <c r="C28" s="9">
        <v>1119000</v>
      </c>
      <c r="D28" s="9">
        <v>85000</v>
      </c>
      <c r="E28" s="9">
        <v>219000</v>
      </c>
      <c r="F28" s="9">
        <v>134000</v>
      </c>
      <c r="G28" s="204">
        <f t="shared" si="1"/>
        <v>0.7186897880539499</v>
      </c>
      <c r="H28" s="204">
        <f t="shared" si="2"/>
        <v>5.4592164418754016E-2</v>
      </c>
      <c r="I28" s="204">
        <f t="shared" si="3"/>
        <v>0.14065510597302505</v>
      </c>
      <c r="J28" s="204">
        <f t="shared" si="4"/>
        <v>8.6062941554271036E-2</v>
      </c>
    </row>
    <row r="29" spans="1:10" ht="12.45" customHeight="1">
      <c r="A29" s="138" t="s">
        <v>221</v>
      </c>
      <c r="B29" s="136">
        <v>770000</v>
      </c>
      <c r="C29" s="137">
        <v>406000</v>
      </c>
      <c r="D29" s="137">
        <v>290000</v>
      </c>
      <c r="E29" s="137">
        <v>29000</v>
      </c>
      <c r="F29" s="137">
        <v>46000</v>
      </c>
      <c r="G29" s="204">
        <f t="shared" si="1"/>
        <v>0.52727272727272723</v>
      </c>
      <c r="H29" s="204">
        <f t="shared" si="2"/>
        <v>0.37662337662337664</v>
      </c>
      <c r="I29" s="204">
        <f t="shared" si="3"/>
        <v>3.7662337662337661E-2</v>
      </c>
      <c r="J29" s="204">
        <f t="shared" si="4"/>
        <v>5.9740259740259739E-2</v>
      </c>
    </row>
    <row r="30" spans="1:10" ht="12.45" customHeight="1">
      <c r="A30" s="139" t="s">
        <v>174</v>
      </c>
      <c r="B30" s="105">
        <v>427000</v>
      </c>
      <c r="C30" s="9">
        <v>201000</v>
      </c>
      <c r="D30" s="9">
        <v>190000</v>
      </c>
      <c r="E30" s="9">
        <v>7000</v>
      </c>
      <c r="F30" s="9">
        <v>30000</v>
      </c>
      <c r="G30" s="204">
        <f t="shared" si="1"/>
        <v>0.47072599531615927</v>
      </c>
      <c r="H30" s="204">
        <f t="shared" si="2"/>
        <v>0.44496487119437939</v>
      </c>
      <c r="I30" s="204">
        <f t="shared" si="3"/>
        <v>1.6393442622950821E-2</v>
      </c>
      <c r="J30" s="204">
        <f t="shared" si="4"/>
        <v>7.0257611241217793E-2</v>
      </c>
    </row>
    <row r="31" spans="1:10" ht="24.75" customHeight="1">
      <c r="A31" s="140" t="s">
        <v>227</v>
      </c>
      <c r="B31" s="106">
        <v>139000</v>
      </c>
      <c r="C31" s="11">
        <v>54000</v>
      </c>
      <c r="D31" s="11">
        <v>72000</v>
      </c>
      <c r="E31" s="11">
        <v>2000</v>
      </c>
      <c r="F31" s="11">
        <v>11000</v>
      </c>
      <c r="G31" s="204">
        <f t="shared" si="1"/>
        <v>0.38848920863309355</v>
      </c>
      <c r="H31" s="204">
        <f t="shared" si="2"/>
        <v>0.51798561151079137</v>
      </c>
      <c r="I31" s="204">
        <f t="shared" si="3"/>
        <v>1.4388489208633094E-2</v>
      </c>
      <c r="J31" s="204">
        <f t="shared" si="4"/>
        <v>7.9136690647482008E-2</v>
      </c>
    </row>
    <row r="32" spans="1:10" ht="24.75" customHeight="1">
      <c r="A32" s="140" t="s">
        <v>228</v>
      </c>
      <c r="B32" s="106">
        <v>110000</v>
      </c>
      <c r="C32" s="11">
        <v>73000</v>
      </c>
      <c r="D32" s="11">
        <v>29000</v>
      </c>
      <c r="E32" s="11">
        <v>2000</v>
      </c>
      <c r="F32" s="11">
        <v>5000</v>
      </c>
      <c r="G32" s="204">
        <f t="shared" si="1"/>
        <v>0.66363636363636369</v>
      </c>
      <c r="H32" s="204">
        <f t="shared" si="2"/>
        <v>0.26363636363636361</v>
      </c>
      <c r="I32" s="204">
        <f t="shared" si="3"/>
        <v>1.8181818181818181E-2</v>
      </c>
      <c r="J32" s="204">
        <f t="shared" si="4"/>
        <v>4.5454545454545456E-2</v>
      </c>
    </row>
    <row r="33" spans="1:10" ht="12.45" customHeight="1">
      <c r="A33" s="149" t="s">
        <v>229</v>
      </c>
      <c r="B33" s="105">
        <v>53000</v>
      </c>
      <c r="C33" s="9">
        <v>15000</v>
      </c>
      <c r="D33" s="9">
        <v>31000</v>
      </c>
      <c r="E33" s="9">
        <v>1000</v>
      </c>
      <c r="F33" s="9">
        <v>6000</v>
      </c>
      <c r="G33" s="204">
        <f t="shared" si="1"/>
        <v>0.28301886792452829</v>
      </c>
      <c r="H33" s="204">
        <f t="shared" si="2"/>
        <v>0.58490566037735847</v>
      </c>
      <c r="I33" s="204">
        <f t="shared" si="3"/>
        <v>1.8867924528301886E-2</v>
      </c>
      <c r="J33" s="204">
        <f t="shared" si="4"/>
        <v>0.11320754716981132</v>
      </c>
    </row>
    <row r="34" spans="1:10" ht="12.45" customHeight="1">
      <c r="A34" s="140" t="s">
        <v>230</v>
      </c>
      <c r="B34" s="105">
        <v>46000</v>
      </c>
      <c r="C34" s="9">
        <v>9000</v>
      </c>
      <c r="D34" s="9">
        <v>32000</v>
      </c>
      <c r="E34" s="9">
        <v>1000</v>
      </c>
      <c r="F34" s="9">
        <v>3000</v>
      </c>
      <c r="G34" s="204">
        <f t="shared" si="1"/>
        <v>0.19565217391304349</v>
      </c>
      <c r="H34" s="204">
        <f t="shared" si="2"/>
        <v>0.69565217391304346</v>
      </c>
      <c r="I34" s="204">
        <f t="shared" si="3"/>
        <v>2.1739130434782608E-2</v>
      </c>
      <c r="J34" s="204">
        <f t="shared" si="4"/>
        <v>6.5217391304347824E-2</v>
      </c>
    </row>
    <row r="35" spans="1:10" ht="12.45" customHeight="1">
      <c r="A35" s="140" t="s">
        <v>231</v>
      </c>
      <c r="B35" s="105">
        <v>80000</v>
      </c>
      <c r="C35" s="9">
        <v>49000</v>
      </c>
      <c r="D35" s="9">
        <v>26000</v>
      </c>
      <c r="E35" s="13" t="s">
        <v>191</v>
      </c>
      <c r="F35" s="9">
        <v>4000</v>
      </c>
      <c r="G35" s="204">
        <f t="shared" si="1"/>
        <v>0.61250000000000004</v>
      </c>
      <c r="H35" s="204">
        <f t="shared" si="2"/>
        <v>0.32500000000000001</v>
      </c>
      <c r="I35" s="204" t="e">
        <f t="shared" si="3"/>
        <v>#VALUE!</v>
      </c>
      <c r="J35" s="204">
        <f t="shared" si="4"/>
        <v>0.05</v>
      </c>
    </row>
    <row r="36" spans="1:10" ht="12.45" customHeight="1">
      <c r="A36" s="139" t="s">
        <v>175</v>
      </c>
      <c r="B36" s="105">
        <v>127000</v>
      </c>
      <c r="C36" s="9">
        <v>75000</v>
      </c>
      <c r="D36" s="9">
        <v>39000</v>
      </c>
      <c r="E36" s="9">
        <v>5000</v>
      </c>
      <c r="F36" s="9">
        <v>7000</v>
      </c>
      <c r="G36" s="204">
        <f t="shared" si="1"/>
        <v>0.59055118110236215</v>
      </c>
      <c r="H36" s="204">
        <f t="shared" si="2"/>
        <v>0.30708661417322836</v>
      </c>
      <c r="I36" s="204">
        <f t="shared" si="3"/>
        <v>3.937007874015748E-2</v>
      </c>
      <c r="J36" s="204">
        <f t="shared" si="4"/>
        <v>5.5118110236220472E-2</v>
      </c>
    </row>
    <row r="37" spans="1:10" ht="12.45" customHeight="1">
      <c r="A37" s="139" t="s">
        <v>176</v>
      </c>
      <c r="B37" s="105">
        <v>217000</v>
      </c>
      <c r="C37" s="9">
        <v>131000</v>
      </c>
      <c r="D37" s="9">
        <v>61000</v>
      </c>
      <c r="E37" s="9">
        <v>17000</v>
      </c>
      <c r="F37" s="9">
        <v>8000</v>
      </c>
      <c r="G37" s="204">
        <f t="shared" si="1"/>
        <v>0.60368663594470051</v>
      </c>
      <c r="H37" s="204">
        <f t="shared" si="2"/>
        <v>0.28110599078341014</v>
      </c>
      <c r="I37" s="204">
        <f t="shared" si="3"/>
        <v>7.8341013824884786E-2</v>
      </c>
      <c r="J37" s="204">
        <f t="shared" si="4"/>
        <v>3.6866359447004608E-2</v>
      </c>
    </row>
    <row r="38" spans="1:10" ht="12.45" customHeight="1">
      <c r="A38" s="196" t="s">
        <v>223</v>
      </c>
      <c r="B38" s="104">
        <v>525000</v>
      </c>
      <c r="C38" s="104">
        <v>412000</v>
      </c>
      <c r="D38" s="104">
        <v>65000</v>
      </c>
      <c r="E38" s="104">
        <v>4000</v>
      </c>
      <c r="F38" s="104">
        <v>44000</v>
      </c>
      <c r="G38" s="204"/>
      <c r="H38" s="204"/>
      <c r="I38" s="204"/>
      <c r="J38" s="204"/>
    </row>
    <row r="39" spans="1:10" ht="12.45" customHeight="1">
      <c r="A39" s="161" t="s">
        <v>174</v>
      </c>
      <c r="B39" s="9">
        <v>21000</v>
      </c>
      <c r="C39" s="9">
        <v>11000</v>
      </c>
      <c r="D39" s="9">
        <v>8000</v>
      </c>
      <c r="E39" s="13" t="s">
        <v>220</v>
      </c>
      <c r="F39" s="13" t="s">
        <v>191</v>
      </c>
      <c r="G39" s="204"/>
      <c r="H39" s="204"/>
      <c r="I39" s="204"/>
      <c r="J39" s="204"/>
    </row>
    <row r="40" spans="1:10" ht="12.45" customHeight="1">
      <c r="A40" s="161" t="s">
        <v>175</v>
      </c>
      <c r="B40" s="9">
        <v>325000</v>
      </c>
      <c r="C40" s="9">
        <v>262000</v>
      </c>
      <c r="D40" s="9">
        <v>50000</v>
      </c>
      <c r="E40" s="13" t="s">
        <v>191</v>
      </c>
      <c r="F40" s="13" t="s">
        <v>191</v>
      </c>
      <c r="G40" s="204"/>
      <c r="H40" s="204"/>
      <c r="I40" s="204"/>
      <c r="J40" s="204"/>
    </row>
    <row r="41" spans="1:10" ht="12.45" customHeight="1">
      <c r="A41" s="199" t="s">
        <v>176</v>
      </c>
      <c r="B41" s="9">
        <v>179000</v>
      </c>
      <c r="C41" s="9">
        <v>139000</v>
      </c>
      <c r="D41" s="9">
        <v>7000</v>
      </c>
      <c r="E41" s="9">
        <v>1000</v>
      </c>
      <c r="F41" s="9">
        <v>32000</v>
      </c>
      <c r="G41" s="204"/>
      <c r="H41" s="204"/>
      <c r="I41" s="204"/>
      <c r="J41" s="204"/>
    </row>
    <row r="42" spans="1:10" ht="24.75" customHeight="1">
      <c r="A42" s="129" t="s">
        <v>593</v>
      </c>
      <c r="B42" s="197">
        <v>42453000</v>
      </c>
      <c r="C42" s="198">
        <v>29318000</v>
      </c>
      <c r="D42" s="198">
        <v>2511000</v>
      </c>
      <c r="E42" s="198">
        <v>5995000</v>
      </c>
      <c r="F42" s="198">
        <v>4628000</v>
      </c>
      <c r="G42" s="204">
        <f t="shared" si="1"/>
        <v>0.6905990153817162</v>
      </c>
      <c r="H42" s="204">
        <f t="shared" si="2"/>
        <v>5.9147763408946362E-2</v>
      </c>
      <c r="I42" s="204">
        <f t="shared" si="3"/>
        <v>0.14121499069559276</v>
      </c>
      <c r="J42" s="204">
        <f t="shared" si="4"/>
        <v>0.1090146750524109</v>
      </c>
    </row>
    <row r="43" spans="1:10" ht="12.45" customHeight="1">
      <c r="A43" s="130" t="s">
        <v>174</v>
      </c>
      <c r="B43" s="105">
        <v>5633000</v>
      </c>
      <c r="C43" s="9">
        <v>4107000</v>
      </c>
      <c r="D43" s="9">
        <v>659000</v>
      </c>
      <c r="E43" s="9">
        <v>179000</v>
      </c>
      <c r="F43" s="9">
        <v>688000</v>
      </c>
      <c r="G43" s="204">
        <f t="shared" si="1"/>
        <v>0.72909639623646372</v>
      </c>
      <c r="H43" s="204">
        <f t="shared" si="2"/>
        <v>0.11698917095686136</v>
      </c>
      <c r="I43" s="204">
        <f t="shared" si="3"/>
        <v>3.1777028226522279E-2</v>
      </c>
      <c r="J43" s="204">
        <f t="shared" si="4"/>
        <v>0.12213740458015267</v>
      </c>
    </row>
    <row r="44" spans="1:10" ht="24.75" customHeight="1">
      <c r="A44" s="131" t="s">
        <v>227</v>
      </c>
      <c r="B44" s="106">
        <v>548000</v>
      </c>
      <c r="C44" s="11">
        <v>240000</v>
      </c>
      <c r="D44" s="11">
        <v>184000</v>
      </c>
      <c r="E44" s="11">
        <v>22000</v>
      </c>
      <c r="F44" s="11">
        <v>102000</v>
      </c>
      <c r="G44" s="204">
        <f t="shared" si="1"/>
        <v>0.43795620437956206</v>
      </c>
      <c r="H44" s="204">
        <f t="shared" si="2"/>
        <v>0.33576642335766421</v>
      </c>
      <c r="I44" s="204">
        <f t="shared" si="3"/>
        <v>4.0145985401459854E-2</v>
      </c>
      <c r="J44" s="204">
        <f t="shared" si="4"/>
        <v>0.18613138686131386</v>
      </c>
    </row>
  </sheetData>
  <mergeCells count="1">
    <mergeCell ref="A1:G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9F290-2458-443B-A6BE-F16796BB341B}">
  <dimension ref="A1:K1"/>
  <sheetViews>
    <sheetView workbookViewId="0">
      <selection sqref="A1:D1"/>
    </sheetView>
  </sheetViews>
  <sheetFormatPr defaultRowHeight="13.2"/>
  <sheetData>
    <row r="1" spans="1:11">
      <c r="A1" s="319" t="s">
        <v>60</v>
      </c>
      <c r="B1" s="320"/>
      <c r="C1" s="320"/>
      <c r="D1" s="320"/>
      <c r="G1" s="319" t="s">
        <v>61</v>
      </c>
      <c r="H1" s="320"/>
      <c r="I1" s="320"/>
      <c r="J1" s="320"/>
      <c r="K1" s="320"/>
    </row>
  </sheetData>
  <mergeCells count="2">
    <mergeCell ref="A1:D1"/>
    <mergeCell ref="G1:K1"/>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43"/>
  <sheetViews>
    <sheetView topLeftCell="A19" workbookViewId="0">
      <selection activeCell="A3" sqref="A3:J41"/>
    </sheetView>
  </sheetViews>
  <sheetFormatPr defaultRowHeight="13.2"/>
  <cols>
    <col min="1" max="1" width="36.44140625" customWidth="1"/>
    <col min="2" max="2" width="11.109375" customWidth="1"/>
    <col min="3" max="3" width="15.33203125" customWidth="1"/>
    <col min="4" max="4" width="20.109375" customWidth="1"/>
    <col min="5" max="5" width="29.77734375" customWidth="1"/>
    <col min="6" max="6" width="12.109375" customWidth="1"/>
    <col min="7" max="7" width="9.109375" bestFit="1" customWidth="1"/>
    <col min="8" max="8" width="14.44140625" bestFit="1" customWidth="1"/>
    <col min="9" max="9" width="20.109375" bestFit="1" customWidth="1"/>
    <col min="10" max="10" width="10.33203125" customWidth="1"/>
  </cols>
  <sheetData>
    <row r="1" spans="1:10" ht="42.75" customHeight="1">
      <c r="A1" s="420" t="s">
        <v>582</v>
      </c>
      <c r="B1" s="420"/>
      <c r="C1" s="420"/>
      <c r="D1" s="420"/>
      <c r="E1" s="420"/>
      <c r="F1" s="420"/>
      <c r="G1" s="420"/>
    </row>
    <row r="2" spans="1:10" ht="27.75" customHeight="1">
      <c r="A2" s="101" t="s">
        <v>583</v>
      </c>
      <c r="B2" s="46" t="s">
        <v>167</v>
      </c>
      <c r="C2" s="82" t="s">
        <v>252</v>
      </c>
      <c r="D2" s="83" t="s">
        <v>258</v>
      </c>
      <c r="E2" s="82" t="s">
        <v>259</v>
      </c>
      <c r="F2" s="84" t="s">
        <v>584</v>
      </c>
      <c r="G2" s="235" t="s">
        <v>585</v>
      </c>
      <c r="H2" s="235" t="s">
        <v>586</v>
      </c>
      <c r="I2" s="235" t="s">
        <v>587</v>
      </c>
      <c r="J2" s="236" t="s">
        <v>588</v>
      </c>
    </row>
    <row r="3" spans="1:10" ht="24.75" customHeight="1">
      <c r="A3" s="131" t="s">
        <v>228</v>
      </c>
      <c r="B3" s="142">
        <v>2707000</v>
      </c>
      <c r="C3" s="29">
        <v>2260000</v>
      </c>
      <c r="D3" s="29">
        <v>153000</v>
      </c>
      <c r="E3" s="29">
        <v>80000</v>
      </c>
      <c r="F3" s="29">
        <v>214000</v>
      </c>
      <c r="G3" s="204">
        <f>C3/$B3</f>
        <v>0.83487255264130034</v>
      </c>
      <c r="H3" s="204">
        <f t="shared" ref="H3:J3" si="0">D3/$B3</f>
        <v>5.6520132988548209E-2</v>
      </c>
      <c r="I3" s="204">
        <f t="shared" si="0"/>
        <v>2.9553010712966385E-2</v>
      </c>
      <c r="J3" s="204">
        <f t="shared" si="0"/>
        <v>7.9054303657185077E-2</v>
      </c>
    </row>
    <row r="4" spans="1:10" ht="12.45" customHeight="1">
      <c r="A4" s="131" t="s">
        <v>229</v>
      </c>
      <c r="B4" s="105">
        <v>309000</v>
      </c>
      <c r="C4" s="9">
        <v>141000</v>
      </c>
      <c r="D4" s="9">
        <v>71000</v>
      </c>
      <c r="E4" s="9">
        <v>9000</v>
      </c>
      <c r="F4" s="9">
        <v>88000</v>
      </c>
      <c r="G4" s="204">
        <f t="shared" ref="G4:G35" si="1">C4/$B4</f>
        <v>0.4563106796116505</v>
      </c>
      <c r="H4" s="204">
        <f t="shared" ref="H4:H35" si="2">D4/$B4</f>
        <v>0.22977346278317151</v>
      </c>
      <c r="I4" s="204">
        <f t="shared" ref="I4:I35" si="3">E4/$B4</f>
        <v>2.9126213592233011E-2</v>
      </c>
      <c r="J4" s="204">
        <f t="shared" ref="J4:J35" si="4">F4/$B4</f>
        <v>0.28478964401294499</v>
      </c>
    </row>
    <row r="5" spans="1:10" ht="12.45" customHeight="1">
      <c r="A5" s="131" t="s">
        <v>230</v>
      </c>
      <c r="B5" s="105">
        <v>583000</v>
      </c>
      <c r="C5" s="9">
        <v>220000</v>
      </c>
      <c r="D5" s="9">
        <v>199000</v>
      </c>
      <c r="E5" s="9">
        <v>64000</v>
      </c>
      <c r="F5" s="9">
        <v>100000</v>
      </c>
      <c r="G5" s="204">
        <f t="shared" si="1"/>
        <v>0.37735849056603776</v>
      </c>
      <c r="H5" s="204">
        <f t="shared" si="2"/>
        <v>0.34133790737564323</v>
      </c>
      <c r="I5" s="204">
        <f t="shared" si="3"/>
        <v>0.10977701543739279</v>
      </c>
      <c r="J5" s="204">
        <f t="shared" si="4"/>
        <v>0.17152658662092624</v>
      </c>
    </row>
    <row r="6" spans="1:10" ht="12.45" customHeight="1">
      <c r="A6" s="131" t="s">
        <v>231</v>
      </c>
      <c r="B6" s="105">
        <v>1487000</v>
      </c>
      <c r="C6" s="9">
        <v>1247000</v>
      </c>
      <c r="D6" s="9">
        <v>52000</v>
      </c>
      <c r="E6" s="9">
        <v>4000</v>
      </c>
      <c r="F6" s="9">
        <v>184000</v>
      </c>
      <c r="G6" s="204">
        <f t="shared" si="1"/>
        <v>0.83860121049092129</v>
      </c>
      <c r="H6" s="204">
        <f t="shared" si="2"/>
        <v>3.496973772696705E-2</v>
      </c>
      <c r="I6" s="204">
        <f t="shared" si="3"/>
        <v>2.6899798251513113E-3</v>
      </c>
      <c r="J6" s="204">
        <f t="shared" si="4"/>
        <v>0.12373907195696032</v>
      </c>
    </row>
    <row r="7" spans="1:10" ht="12.45" customHeight="1">
      <c r="A7" s="130" t="s">
        <v>175</v>
      </c>
      <c r="B7" s="105">
        <v>7592000</v>
      </c>
      <c r="C7" s="9">
        <v>5386000</v>
      </c>
      <c r="D7" s="9">
        <v>536000</v>
      </c>
      <c r="E7" s="9">
        <v>1085000</v>
      </c>
      <c r="F7" s="9">
        <v>585000</v>
      </c>
      <c r="G7" s="204">
        <f t="shared" si="1"/>
        <v>0.70943097997892524</v>
      </c>
      <c r="H7" s="204">
        <f t="shared" si="2"/>
        <v>7.0600632244467859E-2</v>
      </c>
      <c r="I7" s="204">
        <f t="shared" si="3"/>
        <v>0.14291359325605901</v>
      </c>
      <c r="J7" s="204">
        <f t="shared" si="4"/>
        <v>7.7054794520547948E-2</v>
      </c>
    </row>
    <row r="8" spans="1:10" ht="12.45" customHeight="1">
      <c r="A8" s="130" t="s">
        <v>176</v>
      </c>
      <c r="B8" s="105">
        <v>29228000</v>
      </c>
      <c r="C8" s="9">
        <v>19825000</v>
      </c>
      <c r="D8" s="9">
        <v>1315000</v>
      </c>
      <c r="E8" s="9">
        <v>4732000</v>
      </c>
      <c r="F8" s="9">
        <v>3356000</v>
      </c>
      <c r="G8" s="204">
        <f t="shared" si="1"/>
        <v>0.67828794306829066</v>
      </c>
      <c r="H8" s="204">
        <f t="shared" si="2"/>
        <v>4.4991104420418773E-2</v>
      </c>
      <c r="I8" s="204">
        <f t="shared" si="3"/>
        <v>0.16189954837826742</v>
      </c>
      <c r="J8" s="204">
        <f t="shared" si="4"/>
        <v>0.11482140413302312</v>
      </c>
    </row>
    <row r="9" spans="1:10" ht="12.45" customHeight="1">
      <c r="A9" s="120" t="s">
        <v>218</v>
      </c>
      <c r="B9" s="124">
        <v>26652000</v>
      </c>
      <c r="C9" s="119">
        <v>20255000</v>
      </c>
      <c r="D9" s="119">
        <v>928000</v>
      </c>
      <c r="E9" s="119">
        <v>2698000</v>
      </c>
      <c r="F9" s="119">
        <v>2771000</v>
      </c>
      <c r="G9" s="204">
        <f t="shared" si="1"/>
        <v>0.759980489269098</v>
      </c>
      <c r="H9" s="204">
        <f t="shared" si="2"/>
        <v>3.4819150532793039E-2</v>
      </c>
      <c r="I9" s="204">
        <f t="shared" si="3"/>
        <v>0.10123067687227975</v>
      </c>
      <c r="J9" s="204">
        <f t="shared" si="4"/>
        <v>0.1039696833258292</v>
      </c>
    </row>
    <row r="10" spans="1:10" ht="12.45" customHeight="1">
      <c r="A10" s="121" t="s">
        <v>174</v>
      </c>
      <c r="B10" s="105">
        <v>3551000</v>
      </c>
      <c r="C10" s="9">
        <v>2887000</v>
      </c>
      <c r="D10" s="9">
        <v>225000</v>
      </c>
      <c r="E10" s="9">
        <v>57000</v>
      </c>
      <c r="F10" s="9">
        <v>382000</v>
      </c>
      <c r="G10" s="204">
        <f t="shared" si="1"/>
        <v>0.81301041960011267</v>
      </c>
      <c r="H10" s="204">
        <f t="shared" si="2"/>
        <v>6.3362433117431713E-2</v>
      </c>
      <c r="I10" s="204">
        <f t="shared" si="3"/>
        <v>1.6051816389749365E-2</v>
      </c>
      <c r="J10" s="204">
        <f t="shared" si="4"/>
        <v>0.10757533089270628</v>
      </c>
    </row>
    <row r="11" spans="1:10" ht="24.75" customHeight="1">
      <c r="A11" s="122" t="s">
        <v>227</v>
      </c>
      <c r="B11" s="106">
        <v>249000</v>
      </c>
      <c r="C11" s="11">
        <v>126000</v>
      </c>
      <c r="D11" s="11">
        <v>70000</v>
      </c>
      <c r="E11" s="16" t="s">
        <v>191</v>
      </c>
      <c r="F11" s="11">
        <v>52000</v>
      </c>
      <c r="G11" s="204">
        <f t="shared" si="1"/>
        <v>0.50602409638554213</v>
      </c>
      <c r="H11" s="204">
        <f t="shared" si="2"/>
        <v>0.28112449799196787</v>
      </c>
      <c r="I11" s="204" t="e">
        <f t="shared" si="3"/>
        <v>#VALUE!</v>
      </c>
      <c r="J11" s="204">
        <f t="shared" si="4"/>
        <v>0.20883534136546184</v>
      </c>
    </row>
    <row r="12" spans="1:10" ht="24.75" customHeight="1">
      <c r="A12" s="122" t="s">
        <v>228</v>
      </c>
      <c r="B12" s="106">
        <v>1962000</v>
      </c>
      <c r="C12" s="11">
        <v>1718000</v>
      </c>
      <c r="D12" s="11">
        <v>67000</v>
      </c>
      <c r="E12" s="11">
        <v>41000</v>
      </c>
      <c r="F12" s="11">
        <v>135000</v>
      </c>
      <c r="G12" s="204">
        <f t="shared" si="1"/>
        <v>0.87563710499490321</v>
      </c>
      <c r="H12" s="204">
        <f t="shared" si="2"/>
        <v>3.4148827726809376E-2</v>
      </c>
      <c r="I12" s="204">
        <f t="shared" si="3"/>
        <v>2.0897043832823651E-2</v>
      </c>
      <c r="J12" s="204">
        <f t="shared" si="4"/>
        <v>6.8807339449541288E-2</v>
      </c>
    </row>
    <row r="13" spans="1:10" ht="12.45" customHeight="1">
      <c r="A13" s="195" t="s">
        <v>229</v>
      </c>
      <c r="B13" s="105">
        <v>158000</v>
      </c>
      <c r="C13" s="9">
        <v>81000</v>
      </c>
      <c r="D13" s="9">
        <v>23000</v>
      </c>
      <c r="E13" s="13" t="s">
        <v>191</v>
      </c>
      <c r="F13" s="9">
        <v>51000</v>
      </c>
      <c r="G13" s="204">
        <f t="shared" si="1"/>
        <v>0.51265822784810122</v>
      </c>
      <c r="H13" s="204">
        <f t="shared" si="2"/>
        <v>0.14556962025316456</v>
      </c>
      <c r="I13" s="204" t="e">
        <f t="shared" si="3"/>
        <v>#VALUE!</v>
      </c>
      <c r="J13" s="204">
        <f t="shared" si="4"/>
        <v>0.32278481012658228</v>
      </c>
    </row>
    <row r="14" spans="1:10" ht="12.45" customHeight="1">
      <c r="A14" s="122" t="s">
        <v>230</v>
      </c>
      <c r="B14" s="105">
        <v>148000</v>
      </c>
      <c r="C14" s="9">
        <v>66000</v>
      </c>
      <c r="D14" s="9">
        <v>47000</v>
      </c>
      <c r="E14" s="9">
        <v>9000</v>
      </c>
      <c r="F14" s="9">
        <v>25000</v>
      </c>
      <c r="G14" s="204">
        <f t="shared" si="1"/>
        <v>0.44594594594594594</v>
      </c>
      <c r="H14" s="204">
        <f t="shared" si="2"/>
        <v>0.31756756756756754</v>
      </c>
      <c r="I14" s="204">
        <f t="shared" si="3"/>
        <v>6.0810810810810814E-2</v>
      </c>
      <c r="J14" s="204">
        <f t="shared" si="4"/>
        <v>0.16891891891891891</v>
      </c>
    </row>
    <row r="15" spans="1:10" ht="12.45" customHeight="1">
      <c r="A15" s="122" t="s">
        <v>231</v>
      </c>
      <c r="B15" s="105">
        <v>1035000</v>
      </c>
      <c r="C15" s="9">
        <v>896000</v>
      </c>
      <c r="D15" s="9">
        <v>18000</v>
      </c>
      <c r="E15" s="9">
        <v>2000</v>
      </c>
      <c r="F15" s="9">
        <v>119000</v>
      </c>
      <c r="G15" s="204">
        <f t="shared" si="1"/>
        <v>0.86570048309178749</v>
      </c>
      <c r="H15" s="204">
        <f t="shared" si="2"/>
        <v>1.7391304347826087E-2</v>
      </c>
      <c r="I15" s="204">
        <f t="shared" si="3"/>
        <v>1.9323671497584541E-3</v>
      </c>
      <c r="J15" s="204">
        <f t="shared" si="4"/>
        <v>0.11497584541062802</v>
      </c>
    </row>
    <row r="16" spans="1:10" ht="12.45" customHeight="1">
      <c r="A16" s="121" t="s">
        <v>175</v>
      </c>
      <c r="B16" s="105">
        <v>4050000</v>
      </c>
      <c r="C16" s="9">
        <v>3097000</v>
      </c>
      <c r="D16" s="9">
        <v>190000</v>
      </c>
      <c r="E16" s="9">
        <v>463000</v>
      </c>
      <c r="F16" s="9">
        <v>300000</v>
      </c>
      <c r="G16" s="204">
        <f t="shared" si="1"/>
        <v>0.76469135802469135</v>
      </c>
      <c r="H16" s="204">
        <f t="shared" si="2"/>
        <v>4.6913580246913583E-2</v>
      </c>
      <c r="I16" s="204">
        <f t="shared" si="3"/>
        <v>0.11432098765432099</v>
      </c>
      <c r="J16" s="204">
        <f t="shared" si="4"/>
        <v>7.407407407407407E-2</v>
      </c>
    </row>
    <row r="17" spans="1:10" ht="12.45" customHeight="1">
      <c r="A17" s="121" t="s">
        <v>176</v>
      </c>
      <c r="B17" s="105">
        <v>19051000</v>
      </c>
      <c r="C17" s="9">
        <v>14271000</v>
      </c>
      <c r="D17" s="9">
        <v>513000</v>
      </c>
      <c r="E17" s="9">
        <v>2178000</v>
      </c>
      <c r="F17" s="9">
        <v>2089000</v>
      </c>
      <c r="G17" s="204">
        <f t="shared" si="1"/>
        <v>0.74909453571990969</v>
      </c>
      <c r="H17" s="204">
        <f t="shared" si="2"/>
        <v>2.692772032964149E-2</v>
      </c>
      <c r="I17" s="204">
        <f t="shared" si="3"/>
        <v>0.11432470736444281</v>
      </c>
      <c r="J17" s="204">
        <f t="shared" si="4"/>
        <v>0.10965303658600599</v>
      </c>
    </row>
    <row r="18" spans="1:10" ht="12.45" customHeight="1">
      <c r="A18" s="115" t="s">
        <v>219</v>
      </c>
      <c r="B18" s="144">
        <v>11708000</v>
      </c>
      <c r="C18" s="143">
        <v>6428000</v>
      </c>
      <c r="D18" s="143">
        <v>848000</v>
      </c>
      <c r="E18" s="143">
        <v>3090000</v>
      </c>
      <c r="F18" s="143">
        <v>1342000</v>
      </c>
      <c r="G18" s="204">
        <f t="shared" si="1"/>
        <v>0.54902630679877007</v>
      </c>
      <c r="H18" s="204">
        <f t="shared" si="2"/>
        <v>7.242910830201571E-2</v>
      </c>
      <c r="I18" s="204">
        <f t="shared" si="3"/>
        <v>0.26392210454390158</v>
      </c>
      <c r="J18" s="204">
        <f t="shared" si="4"/>
        <v>0.11462248035531261</v>
      </c>
    </row>
    <row r="19" spans="1:10" ht="12.45" customHeight="1">
      <c r="A19" s="116" t="s">
        <v>174</v>
      </c>
      <c r="B19" s="105">
        <v>1485000</v>
      </c>
      <c r="C19" s="9">
        <v>975000</v>
      </c>
      <c r="D19" s="9">
        <v>178000</v>
      </c>
      <c r="E19" s="9">
        <v>93000</v>
      </c>
      <c r="F19" s="9">
        <v>239000</v>
      </c>
      <c r="G19" s="204">
        <f t="shared" si="1"/>
        <v>0.65656565656565657</v>
      </c>
      <c r="H19" s="204">
        <f t="shared" si="2"/>
        <v>0.11986531986531987</v>
      </c>
      <c r="I19" s="204">
        <f t="shared" si="3"/>
        <v>6.2626262626262627E-2</v>
      </c>
      <c r="J19" s="204">
        <f t="shared" si="4"/>
        <v>0.16094276094276094</v>
      </c>
    </row>
    <row r="20" spans="1:10" ht="24.75" customHeight="1">
      <c r="A20" s="117" t="s">
        <v>227</v>
      </c>
      <c r="B20" s="106">
        <v>136000</v>
      </c>
      <c r="C20" s="11">
        <v>55000</v>
      </c>
      <c r="D20" s="11">
        <v>35000</v>
      </c>
      <c r="E20" s="11">
        <v>14000</v>
      </c>
      <c r="F20" s="11">
        <v>33000</v>
      </c>
      <c r="G20" s="204">
        <f t="shared" si="1"/>
        <v>0.40441176470588236</v>
      </c>
      <c r="H20" s="204">
        <f t="shared" si="2"/>
        <v>0.25735294117647056</v>
      </c>
      <c r="I20" s="204">
        <f t="shared" si="3"/>
        <v>0.10294117647058823</v>
      </c>
      <c r="J20" s="204">
        <f t="shared" si="4"/>
        <v>0.24264705882352941</v>
      </c>
    </row>
    <row r="21" spans="1:10" ht="24.75" customHeight="1">
      <c r="A21" s="117" t="s">
        <v>228</v>
      </c>
      <c r="B21" s="106">
        <v>653000</v>
      </c>
      <c r="C21" s="11">
        <v>487000</v>
      </c>
      <c r="D21" s="11">
        <v>54000</v>
      </c>
      <c r="E21" s="11">
        <v>36000</v>
      </c>
      <c r="F21" s="11">
        <v>75000</v>
      </c>
      <c r="G21" s="204">
        <f t="shared" si="1"/>
        <v>0.74578866768759566</v>
      </c>
      <c r="H21" s="204">
        <f t="shared" si="2"/>
        <v>8.2695252679938741E-2</v>
      </c>
      <c r="I21" s="204">
        <f t="shared" si="3"/>
        <v>5.5130168453292494E-2</v>
      </c>
      <c r="J21" s="204">
        <f t="shared" si="4"/>
        <v>0.11485451761102604</v>
      </c>
    </row>
    <row r="22" spans="1:10" ht="12.45" customHeight="1">
      <c r="A22" s="146" t="s">
        <v>229</v>
      </c>
      <c r="B22" s="105">
        <v>77000</v>
      </c>
      <c r="C22" s="9">
        <v>37000</v>
      </c>
      <c r="D22" s="9">
        <v>15000</v>
      </c>
      <c r="E22" s="9">
        <v>3000</v>
      </c>
      <c r="F22" s="9">
        <v>22000</v>
      </c>
      <c r="G22" s="204">
        <f t="shared" si="1"/>
        <v>0.48051948051948051</v>
      </c>
      <c r="H22" s="204">
        <f t="shared" si="2"/>
        <v>0.19480519480519481</v>
      </c>
      <c r="I22" s="204">
        <f t="shared" si="3"/>
        <v>3.896103896103896E-2</v>
      </c>
      <c r="J22" s="204">
        <f t="shared" si="4"/>
        <v>0.2857142857142857</v>
      </c>
    </row>
    <row r="23" spans="1:10" ht="12.45" customHeight="1">
      <c r="A23" s="117" t="s">
        <v>230</v>
      </c>
      <c r="B23" s="105">
        <v>230000</v>
      </c>
      <c r="C23" s="9">
        <v>79000</v>
      </c>
      <c r="D23" s="9">
        <v>61000</v>
      </c>
      <c r="E23" s="9">
        <v>39000</v>
      </c>
      <c r="F23" s="9">
        <v>51000</v>
      </c>
      <c r="G23" s="204">
        <f t="shared" si="1"/>
        <v>0.34347826086956523</v>
      </c>
      <c r="H23" s="204">
        <f t="shared" si="2"/>
        <v>0.26521739130434785</v>
      </c>
      <c r="I23" s="204">
        <f t="shared" si="3"/>
        <v>0.16956521739130434</v>
      </c>
      <c r="J23" s="204">
        <f t="shared" si="4"/>
        <v>0.22173913043478261</v>
      </c>
    </row>
    <row r="24" spans="1:10" ht="12.45" customHeight="1">
      <c r="A24" s="117" t="s">
        <v>231</v>
      </c>
      <c r="B24" s="105">
        <v>390000</v>
      </c>
      <c r="C24" s="9">
        <v>317000</v>
      </c>
      <c r="D24" s="9">
        <v>13000</v>
      </c>
      <c r="E24" s="9">
        <v>1000</v>
      </c>
      <c r="F24" s="9">
        <v>59000</v>
      </c>
      <c r="G24" s="204">
        <f t="shared" si="1"/>
        <v>0.81282051282051282</v>
      </c>
      <c r="H24" s="204">
        <f t="shared" si="2"/>
        <v>3.3333333333333333E-2</v>
      </c>
      <c r="I24" s="204">
        <f t="shared" si="3"/>
        <v>2.5641025641025641E-3</v>
      </c>
      <c r="J24" s="204">
        <f t="shared" si="4"/>
        <v>0.15128205128205127</v>
      </c>
    </row>
    <row r="25" spans="1:10" ht="12.45" customHeight="1">
      <c r="A25" s="116" t="s">
        <v>175</v>
      </c>
      <c r="B25" s="105">
        <v>2081000</v>
      </c>
      <c r="C25" s="9">
        <v>1180000</v>
      </c>
      <c r="D25" s="9">
        <v>127000</v>
      </c>
      <c r="E25" s="9">
        <v>586000</v>
      </c>
      <c r="F25" s="9">
        <v>188000</v>
      </c>
      <c r="G25" s="204">
        <f t="shared" si="1"/>
        <v>0.56703507928880348</v>
      </c>
      <c r="H25" s="204">
        <f t="shared" si="2"/>
        <v>6.1028351753964441E-2</v>
      </c>
      <c r="I25" s="204">
        <f t="shared" si="3"/>
        <v>0.28159538683325325</v>
      </c>
      <c r="J25" s="204">
        <f t="shared" si="4"/>
        <v>9.0341182123978861E-2</v>
      </c>
    </row>
    <row r="26" spans="1:10" ht="12.45" customHeight="1">
      <c r="A26" s="116" t="s">
        <v>176</v>
      </c>
      <c r="B26" s="105">
        <v>8142000</v>
      </c>
      <c r="C26" s="9">
        <v>4273000</v>
      </c>
      <c r="D26" s="9">
        <v>544000</v>
      </c>
      <c r="E26" s="9">
        <v>2411000</v>
      </c>
      <c r="F26" s="9">
        <v>915000</v>
      </c>
      <c r="G26" s="204">
        <f t="shared" si="1"/>
        <v>0.52480962908376316</v>
      </c>
      <c r="H26" s="204">
        <f t="shared" si="2"/>
        <v>6.6814050601817734E-2</v>
      </c>
      <c r="I26" s="204">
        <f t="shared" si="3"/>
        <v>0.29611888970768852</v>
      </c>
      <c r="J26" s="204">
        <f t="shared" si="4"/>
        <v>0.11238025055268976</v>
      </c>
    </row>
    <row r="27" spans="1:10" ht="12.45" customHeight="1">
      <c r="A27" s="138" t="s">
        <v>50</v>
      </c>
      <c r="B27" s="136">
        <v>1371000</v>
      </c>
      <c r="C27" s="137">
        <v>589000</v>
      </c>
      <c r="D27" s="137">
        <v>518000</v>
      </c>
      <c r="E27" s="137">
        <v>144000</v>
      </c>
      <c r="F27" s="137">
        <v>120000</v>
      </c>
      <c r="G27" s="204">
        <f t="shared" si="1"/>
        <v>0.42961342086068566</v>
      </c>
      <c r="H27" s="204">
        <f t="shared" si="2"/>
        <v>0.37782640408460977</v>
      </c>
      <c r="I27" s="204">
        <f t="shared" si="3"/>
        <v>0.10503282275711159</v>
      </c>
      <c r="J27" s="204">
        <f t="shared" si="4"/>
        <v>8.7527352297592995E-2</v>
      </c>
    </row>
    <row r="28" spans="1:10" ht="12.45" customHeight="1">
      <c r="A28" s="139" t="s">
        <v>174</v>
      </c>
      <c r="B28" s="105">
        <v>535000</v>
      </c>
      <c r="C28" s="9">
        <v>210000</v>
      </c>
      <c r="D28" s="9">
        <v>246000</v>
      </c>
      <c r="E28" s="9">
        <v>24000</v>
      </c>
      <c r="F28" s="9">
        <v>56000</v>
      </c>
      <c r="G28" s="204">
        <f t="shared" si="1"/>
        <v>0.3925233644859813</v>
      </c>
      <c r="H28" s="204">
        <f t="shared" si="2"/>
        <v>0.45981308411214955</v>
      </c>
      <c r="I28" s="204">
        <f t="shared" si="3"/>
        <v>4.4859813084112146E-2</v>
      </c>
      <c r="J28" s="204">
        <f t="shared" si="4"/>
        <v>0.10467289719626169</v>
      </c>
    </row>
    <row r="29" spans="1:10" ht="24.75" customHeight="1">
      <c r="A29" s="140" t="s">
        <v>227</v>
      </c>
      <c r="B29" s="106">
        <v>152000</v>
      </c>
      <c r="C29" s="11">
        <v>58000</v>
      </c>
      <c r="D29" s="11">
        <v>72000</v>
      </c>
      <c r="E29" s="11">
        <v>5000</v>
      </c>
      <c r="F29" s="11">
        <v>16000</v>
      </c>
      <c r="G29" s="204">
        <f t="shared" si="1"/>
        <v>0.38157894736842107</v>
      </c>
      <c r="H29" s="204">
        <f t="shared" si="2"/>
        <v>0.47368421052631576</v>
      </c>
      <c r="I29" s="204">
        <f t="shared" si="3"/>
        <v>3.2894736842105261E-2</v>
      </c>
      <c r="J29" s="204">
        <f t="shared" si="4"/>
        <v>0.10526315789473684</v>
      </c>
    </row>
    <row r="30" spans="1:10" ht="24.75" customHeight="1">
      <c r="A30" s="140" t="s">
        <v>228</v>
      </c>
      <c r="B30" s="106">
        <v>75000</v>
      </c>
      <c r="C30" s="11">
        <v>38000</v>
      </c>
      <c r="D30" s="11">
        <v>32000</v>
      </c>
      <c r="E30" s="16" t="s">
        <v>191</v>
      </c>
      <c r="F30" s="11">
        <v>3000</v>
      </c>
      <c r="G30" s="204">
        <f t="shared" si="1"/>
        <v>0.50666666666666671</v>
      </c>
      <c r="H30" s="204">
        <f t="shared" si="2"/>
        <v>0.42666666666666669</v>
      </c>
      <c r="I30" s="204" t="e">
        <f t="shared" si="3"/>
        <v>#VALUE!</v>
      </c>
      <c r="J30" s="204">
        <f t="shared" si="4"/>
        <v>0.04</v>
      </c>
    </row>
    <row r="31" spans="1:10" ht="12.45" customHeight="1">
      <c r="A31" s="149" t="s">
        <v>229</v>
      </c>
      <c r="B31" s="105">
        <v>72000</v>
      </c>
      <c r="C31" s="9">
        <v>22000</v>
      </c>
      <c r="D31" s="9">
        <v>33000</v>
      </c>
      <c r="E31" s="9">
        <v>2000</v>
      </c>
      <c r="F31" s="9">
        <v>15000</v>
      </c>
      <c r="G31" s="204">
        <f t="shared" si="1"/>
        <v>0.30555555555555558</v>
      </c>
      <c r="H31" s="204">
        <f t="shared" si="2"/>
        <v>0.45833333333333331</v>
      </c>
      <c r="I31" s="204">
        <f t="shared" si="3"/>
        <v>2.7777777777777776E-2</v>
      </c>
      <c r="J31" s="204">
        <f t="shared" si="4"/>
        <v>0.20833333333333334</v>
      </c>
    </row>
    <row r="32" spans="1:10" ht="12.45" customHeight="1">
      <c r="A32" s="140" t="s">
        <v>230</v>
      </c>
      <c r="B32" s="105">
        <v>176000</v>
      </c>
      <c r="C32" s="9">
        <v>58000</v>
      </c>
      <c r="D32" s="9">
        <v>88000</v>
      </c>
      <c r="E32" s="9">
        <v>15000</v>
      </c>
      <c r="F32" s="9">
        <v>15000</v>
      </c>
      <c r="G32" s="204">
        <f t="shared" si="1"/>
        <v>0.32954545454545453</v>
      </c>
      <c r="H32" s="204">
        <f t="shared" si="2"/>
        <v>0.5</v>
      </c>
      <c r="I32" s="204">
        <f t="shared" si="3"/>
        <v>8.5227272727272721E-2</v>
      </c>
      <c r="J32" s="204">
        <f t="shared" si="4"/>
        <v>8.5227272727272721E-2</v>
      </c>
    </row>
    <row r="33" spans="1:10" ht="12.45" customHeight="1">
      <c r="A33" s="140" t="s">
        <v>231</v>
      </c>
      <c r="B33" s="105">
        <v>60000</v>
      </c>
      <c r="C33" s="9">
        <v>34000</v>
      </c>
      <c r="D33" s="9">
        <v>20000</v>
      </c>
      <c r="E33" s="13" t="s">
        <v>220</v>
      </c>
      <c r="F33" s="9">
        <v>6000</v>
      </c>
      <c r="G33" s="204">
        <f t="shared" si="1"/>
        <v>0.56666666666666665</v>
      </c>
      <c r="H33" s="204">
        <f t="shared" si="2"/>
        <v>0.33333333333333331</v>
      </c>
      <c r="I33" s="204" t="e">
        <f t="shared" si="3"/>
        <v>#VALUE!</v>
      </c>
      <c r="J33" s="204">
        <f t="shared" si="4"/>
        <v>0.1</v>
      </c>
    </row>
    <row r="34" spans="1:10" ht="12.45" customHeight="1">
      <c r="A34" s="139" t="s">
        <v>175</v>
      </c>
      <c r="B34" s="105">
        <v>247000</v>
      </c>
      <c r="C34" s="9">
        <v>141000</v>
      </c>
      <c r="D34" s="9">
        <v>51000</v>
      </c>
      <c r="E34" s="9">
        <v>27000</v>
      </c>
      <c r="F34" s="9">
        <v>28000</v>
      </c>
      <c r="G34" s="204">
        <f t="shared" si="1"/>
        <v>0.57085020242914974</v>
      </c>
      <c r="H34" s="204">
        <f t="shared" si="2"/>
        <v>0.20647773279352227</v>
      </c>
      <c r="I34" s="204">
        <f t="shared" si="3"/>
        <v>0.10931174089068826</v>
      </c>
      <c r="J34" s="204">
        <f t="shared" si="4"/>
        <v>0.11336032388663968</v>
      </c>
    </row>
    <row r="35" spans="1:10" ht="12.45" customHeight="1">
      <c r="A35" s="139" t="s">
        <v>176</v>
      </c>
      <c r="B35" s="105">
        <v>588000</v>
      </c>
      <c r="C35" s="9">
        <v>238000</v>
      </c>
      <c r="D35" s="9">
        <v>221000</v>
      </c>
      <c r="E35" s="9">
        <v>93000</v>
      </c>
      <c r="F35" s="9">
        <v>36000</v>
      </c>
      <c r="G35" s="204">
        <f t="shared" si="1"/>
        <v>0.40476190476190477</v>
      </c>
      <c r="H35" s="204">
        <f t="shared" si="2"/>
        <v>0.37585034013605439</v>
      </c>
      <c r="I35" s="204">
        <f t="shared" si="3"/>
        <v>0.15816326530612246</v>
      </c>
      <c r="J35" s="204">
        <f t="shared" si="4"/>
        <v>6.1224489795918366E-2</v>
      </c>
    </row>
    <row r="36" spans="1:10" ht="12.45" customHeight="1">
      <c r="A36" s="112" t="s">
        <v>223</v>
      </c>
      <c r="B36" s="109">
        <v>2722000</v>
      </c>
      <c r="C36" s="104">
        <v>2047000</v>
      </c>
      <c r="D36" s="104">
        <v>216000</v>
      </c>
      <c r="E36" s="104">
        <v>62000</v>
      </c>
      <c r="F36" s="104">
        <v>396000</v>
      </c>
    </row>
    <row r="37" spans="1:10" ht="12.45" customHeight="1">
      <c r="A37" s="163" t="s">
        <v>174</v>
      </c>
      <c r="B37" s="105">
        <v>61000</v>
      </c>
      <c r="C37" s="9">
        <v>36000</v>
      </c>
      <c r="D37" s="9">
        <v>11000</v>
      </c>
      <c r="E37" s="9">
        <v>4000</v>
      </c>
      <c r="F37" s="9">
        <v>11000</v>
      </c>
    </row>
    <row r="38" spans="1:10" ht="12.45" customHeight="1">
      <c r="A38" s="163" t="s">
        <v>175</v>
      </c>
      <c r="B38" s="105">
        <v>1214000</v>
      </c>
      <c r="C38" s="9">
        <v>968000</v>
      </c>
      <c r="D38" s="9">
        <v>168000</v>
      </c>
      <c r="E38" s="9">
        <v>9000</v>
      </c>
      <c r="F38" s="9">
        <v>69000</v>
      </c>
    </row>
    <row r="39" spans="1:10" ht="12.45" customHeight="1">
      <c r="A39" s="163" t="s">
        <v>176</v>
      </c>
      <c r="B39" s="110">
        <v>1447000</v>
      </c>
      <c r="C39" s="21">
        <v>1044000</v>
      </c>
      <c r="D39" s="21">
        <v>38000</v>
      </c>
      <c r="E39" s="21">
        <v>49000</v>
      </c>
      <c r="F39" s="21">
        <v>316000</v>
      </c>
    </row>
    <row r="40" spans="1:10" ht="11.25" customHeight="1">
      <c r="A40" s="421" t="s">
        <v>594</v>
      </c>
      <c r="B40" s="421"/>
      <c r="C40" s="421"/>
      <c r="D40" s="421"/>
      <c r="E40" s="421"/>
      <c r="F40" s="421"/>
      <c r="G40" s="421"/>
    </row>
    <row r="41" spans="1:10" ht="47.25" customHeight="1">
      <c r="A41" s="420" t="s">
        <v>595</v>
      </c>
      <c r="B41" s="420"/>
      <c r="C41" s="420"/>
      <c r="D41" s="420"/>
      <c r="E41" s="420"/>
      <c r="F41" s="420"/>
      <c r="G41" s="420"/>
    </row>
    <row r="42" spans="1:10" ht="1.95" customHeight="1"/>
    <row r="43" spans="1:10" ht="46.5" customHeight="1">
      <c r="A43" s="420" t="s">
        <v>596</v>
      </c>
      <c r="B43" s="420"/>
      <c r="C43" s="420"/>
      <c r="D43" s="420"/>
      <c r="E43" s="420"/>
      <c r="F43" s="420"/>
      <c r="G43" s="420"/>
    </row>
  </sheetData>
  <mergeCells count="4">
    <mergeCell ref="A1:G1"/>
    <mergeCell ref="A40:G40"/>
    <mergeCell ref="A41:G41"/>
    <mergeCell ref="A43:G43"/>
  </mergeCell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0" tint="-0.249977111117893"/>
  </sheetPr>
  <dimension ref="A1:F54"/>
  <sheetViews>
    <sheetView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39" customHeight="1">
      <c r="A1" s="420" t="s">
        <v>597</v>
      </c>
      <c r="B1" s="420"/>
      <c r="C1" s="420"/>
      <c r="D1" s="420"/>
      <c r="E1" s="420"/>
      <c r="F1" s="420"/>
    </row>
    <row r="2" spans="1:6" ht="1.95" customHeight="1"/>
    <row r="3" spans="1:6" ht="14.7" customHeight="1">
      <c r="A3" s="54" t="s">
        <v>598</v>
      </c>
      <c r="B3" s="82" t="s">
        <v>167</v>
      </c>
      <c r="C3" s="85" t="s">
        <v>174</v>
      </c>
      <c r="D3" s="85" t="s">
        <v>175</v>
      </c>
      <c r="E3" s="85" t="s">
        <v>176</v>
      </c>
    </row>
    <row r="4" spans="1:6" ht="12.45" customHeight="1">
      <c r="A4" s="6" t="s">
        <v>599</v>
      </c>
      <c r="B4" s="7">
        <v>9311000</v>
      </c>
      <c r="C4" s="7">
        <v>2261000</v>
      </c>
      <c r="D4" s="7">
        <v>1930000</v>
      </c>
      <c r="E4" s="7">
        <v>5120000</v>
      </c>
    </row>
    <row r="5" spans="1:6" ht="12.45" customHeight="1">
      <c r="A5" s="8" t="s">
        <v>600</v>
      </c>
      <c r="B5" s="9">
        <v>1381000</v>
      </c>
      <c r="C5" s="9">
        <v>660000</v>
      </c>
      <c r="D5" s="9">
        <v>279000</v>
      </c>
      <c r="E5" s="9">
        <v>443000</v>
      </c>
    </row>
    <row r="6" spans="1:6" ht="12.45" customHeight="1">
      <c r="A6" s="8" t="s">
        <v>601</v>
      </c>
      <c r="B6" s="9">
        <v>753000</v>
      </c>
      <c r="C6" s="9">
        <v>55000</v>
      </c>
      <c r="D6" s="9">
        <v>306000</v>
      </c>
      <c r="E6" s="9">
        <v>392000</v>
      </c>
    </row>
    <row r="7" spans="1:6" ht="12.45" customHeight="1">
      <c r="A7" s="8" t="s">
        <v>602</v>
      </c>
      <c r="B7" s="9">
        <v>666000</v>
      </c>
      <c r="C7" s="9">
        <v>306000</v>
      </c>
      <c r="D7" s="9">
        <v>128000</v>
      </c>
      <c r="E7" s="9">
        <v>233000</v>
      </c>
    </row>
    <row r="8" spans="1:6" ht="12.45" customHeight="1">
      <c r="A8" s="8" t="s">
        <v>603</v>
      </c>
      <c r="B8" s="9">
        <v>552000</v>
      </c>
      <c r="C8" s="9">
        <v>79000</v>
      </c>
      <c r="D8" s="9">
        <v>53000</v>
      </c>
      <c r="E8" s="9">
        <v>420000</v>
      </c>
    </row>
    <row r="9" spans="1:6" ht="12.45" customHeight="1">
      <c r="A9" s="8" t="s">
        <v>604</v>
      </c>
      <c r="B9" s="9">
        <v>364000</v>
      </c>
      <c r="C9" s="9">
        <v>66000</v>
      </c>
      <c r="D9" s="9">
        <v>60000</v>
      </c>
      <c r="E9" s="9">
        <v>239000</v>
      </c>
    </row>
    <row r="10" spans="1:6" ht="12.45" customHeight="1">
      <c r="A10" s="8" t="s">
        <v>605</v>
      </c>
      <c r="B10" s="9">
        <v>323000</v>
      </c>
      <c r="C10" s="9">
        <v>61000</v>
      </c>
      <c r="D10" s="9">
        <v>74000</v>
      </c>
      <c r="E10" s="9">
        <v>188000</v>
      </c>
    </row>
    <row r="11" spans="1:6" ht="12.45" customHeight="1">
      <c r="A11" s="8" t="s">
        <v>606</v>
      </c>
      <c r="B11" s="9">
        <v>286000</v>
      </c>
      <c r="C11" s="9">
        <v>48000</v>
      </c>
      <c r="D11" s="9">
        <v>35000</v>
      </c>
      <c r="E11" s="9">
        <v>204000</v>
      </c>
    </row>
    <row r="12" spans="1:6" ht="12.45" customHeight="1">
      <c r="A12" s="8" t="s">
        <v>607</v>
      </c>
      <c r="B12" s="9">
        <v>255000</v>
      </c>
      <c r="C12" s="9">
        <v>60000</v>
      </c>
      <c r="D12" s="9">
        <v>46000</v>
      </c>
      <c r="E12" s="9">
        <v>149000</v>
      </c>
    </row>
    <row r="13" spans="1:6" ht="12.45" customHeight="1">
      <c r="A13" s="8" t="s">
        <v>608</v>
      </c>
      <c r="B13" s="9">
        <v>214000</v>
      </c>
      <c r="C13" s="9">
        <v>56000</v>
      </c>
      <c r="D13" s="9">
        <v>59000</v>
      </c>
      <c r="E13" s="9">
        <v>99000</v>
      </c>
    </row>
    <row r="14" spans="1:6" ht="12.45" customHeight="1">
      <c r="A14" s="8" t="s">
        <v>609</v>
      </c>
      <c r="B14" s="9">
        <v>193000</v>
      </c>
      <c r="C14" s="9">
        <v>38000</v>
      </c>
      <c r="D14" s="9">
        <v>31000</v>
      </c>
      <c r="E14" s="9">
        <v>124000</v>
      </c>
    </row>
    <row r="15" spans="1:6" ht="12.45" customHeight="1">
      <c r="A15" s="8" t="s">
        <v>610</v>
      </c>
      <c r="B15" s="9">
        <v>190000</v>
      </c>
      <c r="C15" s="9">
        <v>12000</v>
      </c>
      <c r="D15" s="9">
        <v>29000</v>
      </c>
      <c r="E15" s="9">
        <v>149000</v>
      </c>
    </row>
    <row r="16" spans="1:6" ht="12.45" customHeight="1">
      <c r="A16" s="8" t="s">
        <v>611</v>
      </c>
      <c r="B16" s="9">
        <v>188000</v>
      </c>
      <c r="C16" s="9">
        <v>18000</v>
      </c>
      <c r="D16" s="9">
        <v>32000</v>
      </c>
      <c r="E16" s="9">
        <v>138000</v>
      </c>
    </row>
    <row r="17" spans="1:5" ht="12.45" customHeight="1">
      <c r="A17" s="8" t="s">
        <v>612</v>
      </c>
      <c r="B17" s="9">
        <v>153000</v>
      </c>
      <c r="C17" s="9">
        <v>31000</v>
      </c>
      <c r="D17" s="9">
        <v>30000</v>
      </c>
      <c r="E17" s="9">
        <v>91000</v>
      </c>
    </row>
    <row r="18" spans="1:5" ht="12.45" customHeight="1">
      <c r="A18" s="8" t="s">
        <v>613</v>
      </c>
      <c r="B18" s="9">
        <v>144000</v>
      </c>
      <c r="C18" s="9">
        <v>25000</v>
      </c>
      <c r="D18" s="9">
        <v>58000</v>
      </c>
      <c r="E18" s="9">
        <v>61000</v>
      </c>
    </row>
    <row r="19" spans="1:5" ht="12.45" customHeight="1">
      <c r="A19" s="8" t="s">
        <v>614</v>
      </c>
      <c r="B19" s="9">
        <v>140000</v>
      </c>
      <c r="C19" s="9">
        <v>19000</v>
      </c>
      <c r="D19" s="9">
        <v>16000</v>
      </c>
      <c r="E19" s="9">
        <v>105000</v>
      </c>
    </row>
    <row r="20" spans="1:5" ht="12.45" customHeight="1">
      <c r="A20" s="8" t="s">
        <v>615</v>
      </c>
      <c r="B20" s="9">
        <v>140000</v>
      </c>
      <c r="C20" s="9">
        <v>27000</v>
      </c>
      <c r="D20" s="9">
        <v>15000</v>
      </c>
      <c r="E20" s="9">
        <v>97000</v>
      </c>
    </row>
    <row r="21" spans="1:5" ht="12.45" customHeight="1">
      <c r="A21" s="8" t="s">
        <v>616</v>
      </c>
      <c r="B21" s="9">
        <v>127000</v>
      </c>
      <c r="C21" s="9">
        <v>41000</v>
      </c>
      <c r="D21" s="9">
        <v>34000</v>
      </c>
      <c r="E21" s="9">
        <v>52000</v>
      </c>
    </row>
    <row r="22" spans="1:5" ht="12.45" customHeight="1">
      <c r="A22" s="8" t="s">
        <v>617</v>
      </c>
      <c r="B22" s="9">
        <v>114000</v>
      </c>
      <c r="C22" s="9">
        <v>37000</v>
      </c>
      <c r="D22" s="9">
        <v>14000</v>
      </c>
      <c r="E22" s="9">
        <v>62000</v>
      </c>
    </row>
    <row r="23" spans="1:5" ht="12.45" customHeight="1">
      <c r="A23" s="8" t="s">
        <v>618</v>
      </c>
      <c r="B23" s="9">
        <v>113000</v>
      </c>
      <c r="C23" s="9">
        <v>22000</v>
      </c>
      <c r="D23" s="9">
        <v>21000</v>
      </c>
      <c r="E23" s="9">
        <v>70000</v>
      </c>
    </row>
    <row r="24" spans="1:5" ht="12.45" customHeight="1">
      <c r="A24" s="8" t="s">
        <v>619</v>
      </c>
      <c r="B24" s="9">
        <v>110000</v>
      </c>
      <c r="C24" s="9">
        <v>26000</v>
      </c>
      <c r="D24" s="9">
        <v>16000</v>
      </c>
      <c r="E24" s="9">
        <v>69000</v>
      </c>
    </row>
    <row r="25" spans="1:5" ht="12.45" customHeight="1">
      <c r="A25" s="8" t="s">
        <v>620</v>
      </c>
      <c r="B25" s="9">
        <v>109000</v>
      </c>
      <c r="C25" s="9">
        <v>11000</v>
      </c>
      <c r="D25" s="9">
        <v>31000</v>
      </c>
      <c r="E25" s="9">
        <v>67000</v>
      </c>
    </row>
    <row r="26" spans="1:5" ht="12.45" customHeight="1">
      <c r="A26" s="8" t="s">
        <v>621</v>
      </c>
      <c r="B26" s="9">
        <v>105000</v>
      </c>
      <c r="C26" s="9">
        <v>23000</v>
      </c>
      <c r="D26" s="9">
        <v>18000</v>
      </c>
      <c r="E26" s="9">
        <v>65000</v>
      </c>
    </row>
    <row r="27" spans="1:5" ht="12.45" customHeight="1">
      <c r="A27" s="8" t="s">
        <v>622</v>
      </c>
      <c r="B27" s="9">
        <v>104000</v>
      </c>
      <c r="C27" s="9">
        <v>9000</v>
      </c>
      <c r="D27" s="9">
        <v>13000</v>
      </c>
      <c r="E27" s="9">
        <v>82000</v>
      </c>
    </row>
    <row r="28" spans="1:5" ht="12.45" customHeight="1">
      <c r="A28" s="8" t="s">
        <v>623</v>
      </c>
      <c r="B28" s="9">
        <v>90000</v>
      </c>
      <c r="C28" s="9">
        <v>9000</v>
      </c>
      <c r="D28" s="9">
        <v>13000</v>
      </c>
      <c r="E28" s="9">
        <v>67000</v>
      </c>
    </row>
    <row r="29" spans="1:5" ht="12.45" customHeight="1">
      <c r="A29" s="8" t="s">
        <v>624</v>
      </c>
      <c r="B29" s="9">
        <v>89000</v>
      </c>
      <c r="C29" s="9">
        <v>15000</v>
      </c>
      <c r="D29" s="9">
        <v>21000</v>
      </c>
      <c r="E29" s="9">
        <v>54000</v>
      </c>
    </row>
    <row r="30" spans="1:5" ht="12.45" customHeight="1">
      <c r="A30" s="8" t="s">
        <v>625</v>
      </c>
      <c r="B30" s="9">
        <v>2408000</v>
      </c>
      <c r="C30" s="9">
        <v>509000</v>
      </c>
      <c r="D30" s="9">
        <v>500000</v>
      </c>
      <c r="E30" s="9">
        <v>1399000</v>
      </c>
    </row>
    <row r="31" spans="1:5" ht="12.45" customHeight="1">
      <c r="A31" s="8" t="s">
        <v>178</v>
      </c>
      <c r="B31" s="9">
        <v>4002000</v>
      </c>
      <c r="C31" s="9">
        <v>1902000</v>
      </c>
      <c r="D31" s="9">
        <v>607000</v>
      </c>
      <c r="E31" s="9">
        <v>1493000</v>
      </c>
    </row>
    <row r="32" spans="1:5" ht="12.45" customHeight="1">
      <c r="A32" s="10" t="s">
        <v>600</v>
      </c>
      <c r="B32" s="9">
        <v>888000</v>
      </c>
      <c r="C32" s="9">
        <v>561000</v>
      </c>
      <c r="D32" s="9">
        <v>132000</v>
      </c>
      <c r="E32" s="9">
        <v>195000</v>
      </c>
    </row>
    <row r="33" spans="1:5" ht="12.45" customHeight="1">
      <c r="A33" s="10" t="s">
        <v>602</v>
      </c>
      <c r="B33" s="9">
        <v>439000</v>
      </c>
      <c r="C33" s="9">
        <v>273000</v>
      </c>
      <c r="D33" s="9">
        <v>68000</v>
      </c>
      <c r="E33" s="9">
        <v>97000</v>
      </c>
    </row>
    <row r="34" spans="1:5" ht="12.45" customHeight="1">
      <c r="A34" s="10" t="s">
        <v>603</v>
      </c>
      <c r="B34" s="9">
        <v>205000</v>
      </c>
      <c r="C34" s="9">
        <v>63000</v>
      </c>
      <c r="D34" s="9">
        <v>28000</v>
      </c>
      <c r="E34" s="9">
        <v>113000</v>
      </c>
    </row>
    <row r="35" spans="1:5" ht="12.45" customHeight="1">
      <c r="A35" s="10" t="s">
        <v>601</v>
      </c>
      <c r="B35" s="9">
        <v>155000</v>
      </c>
      <c r="C35" s="9">
        <v>44000</v>
      </c>
      <c r="D35" s="9">
        <v>24000</v>
      </c>
      <c r="E35" s="9">
        <v>87000</v>
      </c>
    </row>
    <row r="36" spans="1:5" ht="12.45" customHeight="1">
      <c r="A36" s="10" t="s">
        <v>604</v>
      </c>
      <c r="B36" s="9">
        <v>123000</v>
      </c>
      <c r="C36" s="9">
        <v>62000</v>
      </c>
      <c r="D36" s="9">
        <v>11000</v>
      </c>
      <c r="E36" s="9">
        <v>50000</v>
      </c>
    </row>
    <row r="37" spans="1:5" ht="12.45" customHeight="1">
      <c r="A37" s="10" t="s">
        <v>605</v>
      </c>
      <c r="B37" s="9">
        <v>114000</v>
      </c>
      <c r="C37" s="9">
        <v>46000</v>
      </c>
      <c r="D37" s="9">
        <v>21000</v>
      </c>
      <c r="E37" s="9">
        <v>47000</v>
      </c>
    </row>
    <row r="38" spans="1:5" ht="12.45" customHeight="1">
      <c r="A38" s="10" t="s">
        <v>607</v>
      </c>
      <c r="B38" s="9">
        <v>104000</v>
      </c>
      <c r="C38" s="9">
        <v>48000</v>
      </c>
      <c r="D38" s="9">
        <v>15000</v>
      </c>
      <c r="E38" s="9">
        <v>41000</v>
      </c>
    </row>
    <row r="39" spans="1:5" ht="12.45" customHeight="1">
      <c r="A39" s="10" t="s">
        <v>608</v>
      </c>
      <c r="B39" s="9">
        <v>99000</v>
      </c>
      <c r="C39" s="9">
        <v>50000</v>
      </c>
      <c r="D39" s="9">
        <v>19000</v>
      </c>
      <c r="E39" s="9">
        <v>30000</v>
      </c>
    </row>
    <row r="40" spans="1:5" ht="12.45" customHeight="1">
      <c r="A40" s="10" t="s">
        <v>606</v>
      </c>
      <c r="B40" s="9">
        <v>88000</v>
      </c>
      <c r="C40" s="9">
        <v>34000</v>
      </c>
      <c r="D40" s="9">
        <v>11000</v>
      </c>
      <c r="E40" s="9">
        <v>43000</v>
      </c>
    </row>
    <row r="41" spans="1:5" ht="12.45" customHeight="1">
      <c r="A41" s="10" t="s">
        <v>609</v>
      </c>
      <c r="B41" s="9">
        <v>82000</v>
      </c>
      <c r="C41" s="9">
        <v>32000</v>
      </c>
      <c r="D41" s="9">
        <v>11000</v>
      </c>
      <c r="E41" s="9">
        <v>40000</v>
      </c>
    </row>
    <row r="42" spans="1:5" ht="12.45" customHeight="1">
      <c r="A42" s="10" t="s">
        <v>616</v>
      </c>
      <c r="B42" s="9">
        <v>78000</v>
      </c>
      <c r="C42" s="9">
        <v>36000</v>
      </c>
      <c r="D42" s="9">
        <v>13000</v>
      </c>
      <c r="E42" s="9">
        <v>29000</v>
      </c>
    </row>
    <row r="43" spans="1:5" ht="12.45" customHeight="1">
      <c r="A43" s="10" t="s">
        <v>612</v>
      </c>
      <c r="B43" s="9">
        <v>64000</v>
      </c>
      <c r="C43" s="9">
        <v>25000</v>
      </c>
      <c r="D43" s="9">
        <v>6000</v>
      </c>
      <c r="E43" s="9">
        <v>32000</v>
      </c>
    </row>
    <row r="44" spans="1:5" ht="12.45" customHeight="1">
      <c r="A44" s="10" t="s">
        <v>617</v>
      </c>
      <c r="B44" s="9">
        <v>59000</v>
      </c>
      <c r="C44" s="9">
        <v>34000</v>
      </c>
      <c r="D44" s="9">
        <v>4000</v>
      </c>
      <c r="E44" s="9">
        <v>22000</v>
      </c>
    </row>
    <row r="45" spans="1:5" ht="12.45" customHeight="1">
      <c r="A45" s="10" t="s">
        <v>618</v>
      </c>
      <c r="B45" s="9">
        <v>52000</v>
      </c>
      <c r="C45" s="9">
        <v>19000</v>
      </c>
      <c r="D45" s="9">
        <v>5000</v>
      </c>
      <c r="E45" s="9">
        <v>27000</v>
      </c>
    </row>
    <row r="46" spans="1:5" ht="12.45" customHeight="1">
      <c r="A46" s="10" t="s">
        <v>613</v>
      </c>
      <c r="B46" s="9">
        <v>48000</v>
      </c>
      <c r="C46" s="9">
        <v>20000</v>
      </c>
      <c r="D46" s="9">
        <v>10000</v>
      </c>
      <c r="E46" s="9">
        <v>18000</v>
      </c>
    </row>
    <row r="47" spans="1:5" ht="12.45" customHeight="1">
      <c r="A47" s="10" t="s">
        <v>615</v>
      </c>
      <c r="B47" s="9">
        <v>46000</v>
      </c>
      <c r="C47" s="9">
        <v>20000</v>
      </c>
      <c r="D47" s="13" t="s">
        <v>191</v>
      </c>
      <c r="E47" s="9">
        <v>21000</v>
      </c>
    </row>
    <row r="48" spans="1:5" ht="12.45" customHeight="1">
      <c r="A48" s="10" t="s">
        <v>626</v>
      </c>
      <c r="B48" s="9">
        <v>46000</v>
      </c>
      <c r="C48" s="9">
        <v>29000</v>
      </c>
      <c r="D48" s="9">
        <v>4000</v>
      </c>
      <c r="E48" s="9">
        <v>12000</v>
      </c>
    </row>
    <row r="49" spans="1:5" ht="12.45" customHeight="1">
      <c r="A49" s="10" t="s">
        <v>619</v>
      </c>
      <c r="B49" s="9">
        <v>45000</v>
      </c>
      <c r="C49" s="9">
        <v>20000</v>
      </c>
      <c r="D49" s="9">
        <v>8000</v>
      </c>
      <c r="E49" s="9">
        <v>18000</v>
      </c>
    </row>
    <row r="50" spans="1:5" ht="12.45" customHeight="1">
      <c r="A50" s="10" t="s">
        <v>620</v>
      </c>
      <c r="B50" s="9">
        <v>44000</v>
      </c>
      <c r="C50" s="9">
        <v>7000</v>
      </c>
      <c r="D50" s="9">
        <v>9000</v>
      </c>
      <c r="E50" s="9">
        <v>29000</v>
      </c>
    </row>
    <row r="51" spans="1:5" ht="12.45" customHeight="1">
      <c r="A51" s="10" t="s">
        <v>611</v>
      </c>
      <c r="B51" s="9">
        <v>43000</v>
      </c>
      <c r="C51" s="9">
        <v>14000</v>
      </c>
      <c r="D51" s="9">
        <v>9000</v>
      </c>
      <c r="E51" s="9">
        <v>20000</v>
      </c>
    </row>
    <row r="52" spans="1:5" ht="12.45" customHeight="1">
      <c r="A52" s="10" t="s">
        <v>614</v>
      </c>
      <c r="B52" s="9">
        <v>42000</v>
      </c>
      <c r="C52" s="9">
        <v>16000</v>
      </c>
      <c r="D52" s="9">
        <v>5000</v>
      </c>
      <c r="E52" s="9">
        <v>21000</v>
      </c>
    </row>
    <row r="53" spans="1:5" ht="12.45" customHeight="1">
      <c r="A53" s="10" t="s">
        <v>627</v>
      </c>
      <c r="B53" s="9">
        <v>40000</v>
      </c>
      <c r="C53" s="9">
        <v>20000</v>
      </c>
      <c r="D53" s="9">
        <v>5000</v>
      </c>
      <c r="E53" s="9">
        <v>15000</v>
      </c>
    </row>
    <row r="54" spans="1:5" ht="12.45" customHeight="1">
      <c r="A54" s="10" t="s">
        <v>610</v>
      </c>
      <c r="B54" s="9">
        <v>40000</v>
      </c>
      <c r="C54" s="9">
        <v>7000</v>
      </c>
      <c r="D54" s="9">
        <v>4000</v>
      </c>
      <c r="E54" s="9">
        <v>28000</v>
      </c>
    </row>
  </sheetData>
  <mergeCells count="1">
    <mergeCell ref="A1:F1"/>
  </mergeCell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0" tint="-0.249977111117893"/>
  </sheetPr>
  <dimension ref="A1:F54"/>
  <sheetViews>
    <sheetView topLeftCell="A28"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39" customHeight="1">
      <c r="A1" s="420" t="s">
        <v>597</v>
      </c>
      <c r="B1" s="420"/>
      <c r="C1" s="420"/>
      <c r="D1" s="420"/>
      <c r="E1" s="420"/>
      <c r="F1" s="420"/>
    </row>
    <row r="2" spans="1:6" ht="1.95" customHeight="1"/>
    <row r="3" spans="1:6" ht="14.7" customHeight="1">
      <c r="A3" s="54" t="s">
        <v>598</v>
      </c>
      <c r="B3" s="82" t="s">
        <v>167</v>
      </c>
      <c r="C3" s="85" t="s">
        <v>174</v>
      </c>
      <c r="D3" s="85" t="s">
        <v>175</v>
      </c>
      <c r="E3" s="85" t="s">
        <v>176</v>
      </c>
    </row>
    <row r="4" spans="1:6" ht="12.45" customHeight="1">
      <c r="A4" s="14" t="s">
        <v>628</v>
      </c>
      <c r="B4" s="7">
        <v>39000</v>
      </c>
      <c r="C4" s="7">
        <v>13000</v>
      </c>
      <c r="D4" s="7">
        <v>8000</v>
      </c>
      <c r="E4" s="7">
        <v>17000</v>
      </c>
    </row>
    <row r="5" spans="1:6" ht="12.45" customHeight="1">
      <c r="A5" s="10" t="s">
        <v>621</v>
      </c>
      <c r="B5" s="9">
        <v>36000</v>
      </c>
      <c r="C5" s="9">
        <v>18000</v>
      </c>
      <c r="D5" s="9">
        <v>4000</v>
      </c>
      <c r="E5" s="9">
        <v>14000</v>
      </c>
    </row>
    <row r="6" spans="1:6" ht="12.45" customHeight="1">
      <c r="A6" s="10" t="s">
        <v>625</v>
      </c>
      <c r="B6" s="9">
        <v>983000</v>
      </c>
      <c r="C6" s="9">
        <v>390000</v>
      </c>
      <c r="D6" s="9">
        <v>167000</v>
      </c>
      <c r="E6" s="9">
        <v>426000</v>
      </c>
    </row>
    <row r="7" spans="1:6" ht="12.45" customHeight="1">
      <c r="A7" s="8" t="s">
        <v>206</v>
      </c>
      <c r="B7" s="9">
        <v>1580000</v>
      </c>
      <c r="C7" s="9">
        <v>131000</v>
      </c>
      <c r="D7" s="9">
        <v>1095000</v>
      </c>
      <c r="E7" s="9">
        <v>354000</v>
      </c>
    </row>
    <row r="8" spans="1:6" ht="12.45" customHeight="1">
      <c r="A8" s="10" t="s">
        <v>601</v>
      </c>
      <c r="B8" s="9">
        <v>286000</v>
      </c>
      <c r="C8" s="9">
        <v>4000</v>
      </c>
      <c r="D8" s="9">
        <v>238000</v>
      </c>
      <c r="E8" s="9">
        <v>45000</v>
      </c>
    </row>
    <row r="9" spans="1:6" ht="12.45" customHeight="1">
      <c r="A9" s="10" t="s">
        <v>600</v>
      </c>
      <c r="B9" s="9">
        <v>195000</v>
      </c>
      <c r="C9" s="9">
        <v>47000</v>
      </c>
      <c r="D9" s="9">
        <v>117000</v>
      </c>
      <c r="E9" s="9">
        <v>32000</v>
      </c>
    </row>
    <row r="10" spans="1:6" ht="12.45" customHeight="1">
      <c r="A10" s="10" t="s">
        <v>602</v>
      </c>
      <c r="B10" s="9">
        <v>83000</v>
      </c>
      <c r="C10" s="9">
        <v>18000</v>
      </c>
      <c r="D10" s="9">
        <v>53000</v>
      </c>
      <c r="E10" s="9">
        <v>12000</v>
      </c>
    </row>
    <row r="11" spans="1:6" ht="12.45" customHeight="1">
      <c r="A11" s="10" t="s">
        <v>605</v>
      </c>
      <c r="B11" s="9">
        <v>60000</v>
      </c>
      <c r="C11" s="9">
        <v>4000</v>
      </c>
      <c r="D11" s="9">
        <v>45000</v>
      </c>
      <c r="E11" s="9">
        <v>10000</v>
      </c>
    </row>
    <row r="12" spans="1:6" ht="12.45" customHeight="1">
      <c r="A12" s="10" t="s">
        <v>604</v>
      </c>
      <c r="B12" s="9">
        <v>56000</v>
      </c>
      <c r="C12" s="9">
        <v>2000</v>
      </c>
      <c r="D12" s="9">
        <v>45000</v>
      </c>
      <c r="E12" s="9">
        <v>9000</v>
      </c>
    </row>
    <row r="13" spans="1:6" ht="12.45" customHeight="1">
      <c r="A13" s="10" t="s">
        <v>607</v>
      </c>
      <c r="B13" s="9">
        <v>46000</v>
      </c>
      <c r="C13" s="13" t="s">
        <v>191</v>
      </c>
      <c r="D13" s="9">
        <v>29000</v>
      </c>
      <c r="E13" s="9">
        <v>14000</v>
      </c>
    </row>
    <row r="14" spans="1:6" ht="12.45" customHeight="1">
      <c r="A14" s="10" t="s">
        <v>613</v>
      </c>
      <c r="B14" s="9">
        <v>46000</v>
      </c>
      <c r="C14" s="13" t="s">
        <v>191</v>
      </c>
      <c r="D14" s="9">
        <v>38000</v>
      </c>
      <c r="E14" s="13" t="s">
        <v>191</v>
      </c>
    </row>
    <row r="15" spans="1:6" ht="12.45" customHeight="1">
      <c r="A15" s="10" t="s">
        <v>603</v>
      </c>
      <c r="B15" s="9">
        <v>43000</v>
      </c>
      <c r="C15" s="9">
        <v>1000</v>
      </c>
      <c r="D15" s="9">
        <v>20000</v>
      </c>
      <c r="E15" s="9">
        <v>22000</v>
      </c>
    </row>
    <row r="16" spans="1:6" ht="12.45" customHeight="1">
      <c r="A16" s="10" t="s">
        <v>616</v>
      </c>
      <c r="B16" s="9">
        <v>36000</v>
      </c>
      <c r="C16" s="9">
        <v>2000</v>
      </c>
      <c r="D16" s="9">
        <v>21000</v>
      </c>
      <c r="E16" s="13" t="s">
        <v>191</v>
      </c>
    </row>
    <row r="17" spans="1:5" ht="12.45" customHeight="1">
      <c r="A17" s="42" t="s">
        <v>609</v>
      </c>
      <c r="B17" s="9">
        <v>32000</v>
      </c>
      <c r="C17" s="13" t="s">
        <v>191</v>
      </c>
      <c r="D17" s="9">
        <v>18000</v>
      </c>
      <c r="E17" s="9">
        <v>12000</v>
      </c>
    </row>
    <row r="18" spans="1:5" ht="12.45" customHeight="1">
      <c r="A18" s="10" t="s">
        <v>629</v>
      </c>
      <c r="B18" s="9">
        <v>32000</v>
      </c>
      <c r="C18" s="13" t="s">
        <v>220</v>
      </c>
      <c r="D18" s="9">
        <v>25000</v>
      </c>
      <c r="E18" s="13" t="s">
        <v>191</v>
      </c>
    </row>
    <row r="19" spans="1:5" ht="12.45" customHeight="1">
      <c r="A19" s="10" t="s">
        <v>608</v>
      </c>
      <c r="B19" s="9">
        <v>30000</v>
      </c>
      <c r="C19" s="9">
        <v>2000</v>
      </c>
      <c r="D19" s="9">
        <v>21000</v>
      </c>
      <c r="E19" s="9">
        <v>8000</v>
      </c>
    </row>
    <row r="20" spans="1:5" ht="12.45" customHeight="1">
      <c r="A20" s="10" t="s">
        <v>620</v>
      </c>
      <c r="B20" s="9">
        <v>29000</v>
      </c>
      <c r="C20" s="9">
        <v>2000</v>
      </c>
      <c r="D20" s="9">
        <v>21000</v>
      </c>
      <c r="E20" s="9">
        <v>6000</v>
      </c>
    </row>
    <row r="21" spans="1:5" ht="12.45" customHeight="1">
      <c r="A21" s="10" t="s">
        <v>630</v>
      </c>
      <c r="B21" s="13" t="s">
        <v>191</v>
      </c>
      <c r="C21" s="13" t="s">
        <v>220</v>
      </c>
      <c r="D21" s="13" t="s">
        <v>191</v>
      </c>
      <c r="E21" s="13" t="s">
        <v>220</v>
      </c>
    </row>
    <row r="22" spans="1:5" ht="12.45" customHeight="1">
      <c r="A22" s="10" t="s">
        <v>610</v>
      </c>
      <c r="B22" s="9">
        <v>26000</v>
      </c>
      <c r="C22" s="13" t="s">
        <v>220</v>
      </c>
      <c r="D22" s="9">
        <v>22000</v>
      </c>
      <c r="E22" s="9">
        <v>4000</v>
      </c>
    </row>
    <row r="23" spans="1:5" ht="12.45" customHeight="1">
      <c r="A23" s="10" t="s">
        <v>606</v>
      </c>
      <c r="B23" s="9">
        <v>26000</v>
      </c>
      <c r="C23" s="9">
        <v>4000</v>
      </c>
      <c r="D23" s="9">
        <v>19000</v>
      </c>
      <c r="E23" s="9">
        <v>3000</v>
      </c>
    </row>
    <row r="24" spans="1:5" ht="12.45" customHeight="1">
      <c r="A24" s="10" t="s">
        <v>611</v>
      </c>
      <c r="B24" s="9">
        <v>25000</v>
      </c>
      <c r="C24" s="9">
        <v>1000</v>
      </c>
      <c r="D24" s="9">
        <v>15000</v>
      </c>
      <c r="E24" s="13" t="s">
        <v>191</v>
      </c>
    </row>
    <row r="25" spans="1:5" ht="12.45" customHeight="1">
      <c r="A25" s="10" t="s">
        <v>622</v>
      </c>
      <c r="B25" s="9">
        <v>22000</v>
      </c>
      <c r="C25" s="13" t="s">
        <v>191</v>
      </c>
      <c r="D25" s="9">
        <v>6000</v>
      </c>
      <c r="E25" s="9">
        <v>16000</v>
      </c>
    </row>
    <row r="26" spans="1:5" ht="12.45" customHeight="1">
      <c r="A26" s="10" t="s">
        <v>618</v>
      </c>
      <c r="B26" s="9">
        <v>21000</v>
      </c>
      <c r="C26" s="13" t="s">
        <v>220</v>
      </c>
      <c r="D26" s="9">
        <v>15000</v>
      </c>
      <c r="E26" s="13" t="s">
        <v>191</v>
      </c>
    </row>
    <row r="27" spans="1:5" ht="12.45" customHeight="1">
      <c r="A27" s="10" t="s">
        <v>612</v>
      </c>
      <c r="B27" s="9">
        <v>20000</v>
      </c>
      <c r="C27" s="9">
        <v>1000</v>
      </c>
      <c r="D27" s="9">
        <v>12000</v>
      </c>
      <c r="E27" s="9">
        <v>7000</v>
      </c>
    </row>
    <row r="28" spans="1:5" ht="12.45" customHeight="1">
      <c r="A28" s="10" t="s">
        <v>631</v>
      </c>
      <c r="B28" s="9">
        <v>16000</v>
      </c>
      <c r="C28" s="13" t="s">
        <v>191</v>
      </c>
      <c r="D28" s="9">
        <v>6000</v>
      </c>
      <c r="E28" s="13" t="s">
        <v>191</v>
      </c>
    </row>
    <row r="29" spans="1:5" ht="12.45" customHeight="1">
      <c r="A29" s="10" t="s">
        <v>632</v>
      </c>
      <c r="B29" s="13" t="s">
        <v>220</v>
      </c>
      <c r="C29" s="13" t="s">
        <v>220</v>
      </c>
      <c r="D29" s="13" t="s">
        <v>220</v>
      </c>
      <c r="E29" s="13" t="s">
        <v>220</v>
      </c>
    </row>
    <row r="30" spans="1:5" ht="12.45" customHeight="1">
      <c r="A30" s="10" t="s">
        <v>621</v>
      </c>
      <c r="B30" s="9">
        <v>15000</v>
      </c>
      <c r="C30" s="13" t="s">
        <v>220</v>
      </c>
      <c r="D30" s="13" t="s">
        <v>191</v>
      </c>
      <c r="E30" s="13" t="s">
        <v>191</v>
      </c>
    </row>
    <row r="31" spans="1:5" ht="12.45" customHeight="1">
      <c r="A31" s="10" t="s">
        <v>633</v>
      </c>
      <c r="B31" s="9">
        <v>14000</v>
      </c>
      <c r="C31" s="13" t="s">
        <v>220</v>
      </c>
      <c r="D31" s="9">
        <v>12000</v>
      </c>
      <c r="E31" s="13" t="s">
        <v>191</v>
      </c>
    </row>
    <row r="32" spans="1:5" ht="12.45" customHeight="1">
      <c r="A32" s="10" t="s">
        <v>624</v>
      </c>
      <c r="B32" s="9">
        <v>14000</v>
      </c>
      <c r="C32" s="13" t="s">
        <v>220</v>
      </c>
      <c r="D32" s="9">
        <v>12000</v>
      </c>
      <c r="E32" s="13" t="s">
        <v>220</v>
      </c>
    </row>
    <row r="33" spans="1:5" ht="12.45" customHeight="1">
      <c r="A33" s="10" t="s">
        <v>625</v>
      </c>
      <c r="B33" s="9">
        <v>366000</v>
      </c>
      <c r="C33" s="9">
        <v>33000</v>
      </c>
      <c r="D33" s="9">
        <v>231000</v>
      </c>
      <c r="E33" s="9">
        <v>102000</v>
      </c>
    </row>
    <row r="34" spans="1:5" ht="12.45" customHeight="1">
      <c r="A34" s="8" t="s">
        <v>211</v>
      </c>
      <c r="B34" s="9">
        <v>3729000</v>
      </c>
      <c r="C34" s="9">
        <v>228000</v>
      </c>
      <c r="D34" s="9">
        <v>228000</v>
      </c>
      <c r="E34" s="9">
        <v>3273000</v>
      </c>
    </row>
    <row r="35" spans="1:5" ht="12.45" customHeight="1">
      <c r="A35" s="10" t="s">
        <v>601</v>
      </c>
      <c r="B35" s="9">
        <v>312000</v>
      </c>
      <c r="C35" s="9">
        <v>7000</v>
      </c>
      <c r="D35" s="9">
        <v>44000</v>
      </c>
      <c r="E35" s="9">
        <v>260000</v>
      </c>
    </row>
    <row r="36" spans="1:5" ht="12.45" customHeight="1">
      <c r="A36" s="10" t="s">
        <v>603</v>
      </c>
      <c r="B36" s="9">
        <v>305000</v>
      </c>
      <c r="C36" s="9">
        <v>15000</v>
      </c>
      <c r="D36" s="9">
        <v>5000</v>
      </c>
      <c r="E36" s="9">
        <v>284000</v>
      </c>
    </row>
    <row r="37" spans="1:5" ht="12.45" customHeight="1">
      <c r="A37" s="10" t="s">
        <v>600</v>
      </c>
      <c r="B37" s="9">
        <v>298000</v>
      </c>
      <c r="C37" s="9">
        <v>52000</v>
      </c>
      <c r="D37" s="9">
        <v>30000</v>
      </c>
      <c r="E37" s="9">
        <v>216000</v>
      </c>
    </row>
    <row r="38" spans="1:5" ht="12.45" customHeight="1">
      <c r="A38" s="10" t="s">
        <v>604</v>
      </c>
      <c r="B38" s="9">
        <v>185000</v>
      </c>
      <c r="C38" s="9">
        <v>2000</v>
      </c>
      <c r="D38" s="9">
        <v>3000</v>
      </c>
      <c r="E38" s="9">
        <v>180000</v>
      </c>
    </row>
    <row r="39" spans="1:5" ht="12.45" customHeight="1">
      <c r="A39" s="10" t="s">
        <v>606</v>
      </c>
      <c r="B39" s="9">
        <v>173000</v>
      </c>
      <c r="C39" s="9">
        <v>10000</v>
      </c>
      <c r="D39" s="9">
        <v>5000</v>
      </c>
      <c r="E39" s="9">
        <v>158000</v>
      </c>
    </row>
    <row r="40" spans="1:5" ht="12.45" customHeight="1">
      <c r="A40" s="10" t="s">
        <v>605</v>
      </c>
      <c r="B40" s="9">
        <v>150000</v>
      </c>
      <c r="C40" s="9">
        <v>12000</v>
      </c>
      <c r="D40" s="9">
        <v>7000</v>
      </c>
      <c r="E40" s="9">
        <v>131000</v>
      </c>
    </row>
    <row r="41" spans="1:5" ht="12.45" customHeight="1">
      <c r="A41" s="10" t="s">
        <v>602</v>
      </c>
      <c r="B41" s="9">
        <v>145000</v>
      </c>
      <c r="C41" s="9">
        <v>15000</v>
      </c>
      <c r="D41" s="9">
        <v>6000</v>
      </c>
      <c r="E41" s="9">
        <v>124000</v>
      </c>
    </row>
    <row r="42" spans="1:5" ht="12.45" customHeight="1">
      <c r="A42" s="10" t="s">
        <v>610</v>
      </c>
      <c r="B42" s="9">
        <v>125000</v>
      </c>
      <c r="C42" s="13" t="s">
        <v>191</v>
      </c>
      <c r="D42" s="9">
        <v>3000</v>
      </c>
      <c r="E42" s="9">
        <v>117000</v>
      </c>
    </row>
    <row r="43" spans="1:5" ht="12.45" customHeight="1">
      <c r="A43" s="10" t="s">
        <v>611</v>
      </c>
      <c r="B43" s="9">
        <v>120000</v>
      </c>
      <c r="C43" s="13" t="s">
        <v>191</v>
      </c>
      <c r="D43" s="13" t="s">
        <v>191</v>
      </c>
      <c r="E43" s="9">
        <v>110000</v>
      </c>
    </row>
    <row r="44" spans="1:5" ht="12.45" customHeight="1">
      <c r="A44" s="10" t="s">
        <v>607</v>
      </c>
      <c r="B44" s="9">
        <v>105000</v>
      </c>
      <c r="C44" s="9">
        <v>10000</v>
      </c>
      <c r="D44" s="13" t="s">
        <v>191</v>
      </c>
      <c r="E44" s="9">
        <v>94000</v>
      </c>
    </row>
    <row r="45" spans="1:5" ht="12.45" customHeight="1">
      <c r="A45" s="10" t="s">
        <v>614</v>
      </c>
      <c r="B45" s="9">
        <v>86000</v>
      </c>
      <c r="C45" s="9">
        <v>3000</v>
      </c>
      <c r="D45" s="13" t="s">
        <v>220</v>
      </c>
      <c r="E45" s="9">
        <v>82000</v>
      </c>
    </row>
    <row r="46" spans="1:5" ht="12.45" customHeight="1">
      <c r="A46" s="10" t="s">
        <v>608</v>
      </c>
      <c r="B46" s="9">
        <v>85000</v>
      </c>
      <c r="C46" s="9">
        <v>4000</v>
      </c>
      <c r="D46" s="13" t="s">
        <v>191</v>
      </c>
      <c r="E46" s="9">
        <v>61000</v>
      </c>
    </row>
    <row r="47" spans="1:5" ht="12.45" customHeight="1">
      <c r="A47" s="10" t="s">
        <v>615</v>
      </c>
      <c r="B47" s="9">
        <v>80000</v>
      </c>
      <c r="C47" s="9">
        <v>4000</v>
      </c>
      <c r="D47" s="13" t="s">
        <v>220</v>
      </c>
      <c r="E47" s="9">
        <v>73000</v>
      </c>
    </row>
    <row r="48" spans="1:5" ht="12.45" customHeight="1">
      <c r="A48" s="42" t="s">
        <v>609</v>
      </c>
      <c r="B48" s="9">
        <v>78000</v>
      </c>
      <c r="C48" s="13" t="s">
        <v>191</v>
      </c>
      <c r="D48" s="13" t="s">
        <v>191</v>
      </c>
      <c r="E48" s="9">
        <v>72000</v>
      </c>
    </row>
    <row r="49" spans="1:5" ht="12.45" customHeight="1">
      <c r="A49" s="10" t="s">
        <v>612</v>
      </c>
      <c r="B49" s="9">
        <v>69000</v>
      </c>
      <c r="C49" s="13" t="s">
        <v>191</v>
      </c>
      <c r="D49" s="13" t="s">
        <v>191</v>
      </c>
      <c r="E49" s="9">
        <v>53000</v>
      </c>
    </row>
    <row r="50" spans="1:5" ht="12.45" customHeight="1">
      <c r="A50" s="10" t="s">
        <v>619</v>
      </c>
      <c r="B50" s="9">
        <v>55000</v>
      </c>
      <c r="C50" s="13" t="s">
        <v>191</v>
      </c>
      <c r="D50" s="13" t="s">
        <v>220</v>
      </c>
      <c r="E50" s="9">
        <v>50000</v>
      </c>
    </row>
    <row r="51" spans="1:5" ht="12.45" customHeight="1">
      <c r="A51" s="10" t="s">
        <v>622</v>
      </c>
      <c r="B51" s="9">
        <v>54000</v>
      </c>
      <c r="C51" s="13" t="s">
        <v>191</v>
      </c>
      <c r="D51" s="13" t="s">
        <v>191</v>
      </c>
      <c r="E51" s="9">
        <v>51000</v>
      </c>
    </row>
    <row r="52" spans="1:5" ht="12.45" customHeight="1">
      <c r="A52" s="10" t="s">
        <v>621</v>
      </c>
      <c r="B52" s="9">
        <v>54000</v>
      </c>
      <c r="C52" s="9">
        <v>3000</v>
      </c>
      <c r="D52" s="13" t="s">
        <v>222</v>
      </c>
      <c r="E52" s="9">
        <v>51000</v>
      </c>
    </row>
    <row r="53" spans="1:5" ht="12.45" customHeight="1">
      <c r="A53" s="10" t="s">
        <v>623</v>
      </c>
      <c r="B53" s="9">
        <v>50000</v>
      </c>
      <c r="C53" s="13" t="s">
        <v>191</v>
      </c>
      <c r="D53" s="13" t="s">
        <v>220</v>
      </c>
      <c r="E53" s="9">
        <v>42000</v>
      </c>
    </row>
    <row r="54" spans="1:5" ht="12.45" customHeight="1">
      <c r="A54" s="10" t="s">
        <v>613</v>
      </c>
      <c r="B54" s="9">
        <v>50000</v>
      </c>
      <c r="C54" s="9">
        <v>4000</v>
      </c>
      <c r="D54" s="13" t="s">
        <v>191</v>
      </c>
      <c r="E54" s="9">
        <v>36000</v>
      </c>
    </row>
  </sheetData>
  <mergeCells count="1">
    <mergeCell ref="A1:F1"/>
  </mergeCell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0" tint="-0.249977111117893"/>
  </sheetPr>
  <dimension ref="A1:F11"/>
  <sheetViews>
    <sheetView workbookViewId="0">
      <selection sqref="A1:I1"/>
    </sheetView>
  </sheetViews>
  <sheetFormatPr defaultRowHeight="13.2"/>
  <cols>
    <col min="1" max="1" width="44.6640625" customWidth="1"/>
    <col min="2" max="2" width="10" customWidth="1"/>
    <col min="3" max="3" width="15.77734375" customWidth="1"/>
    <col min="4" max="4" width="22.109375" customWidth="1"/>
    <col min="5" max="5" width="19.77734375" customWidth="1"/>
    <col min="6" max="6" width="15.77734375" customWidth="1"/>
  </cols>
  <sheetData>
    <row r="1" spans="1:6" ht="42.75" customHeight="1">
      <c r="A1" s="420" t="s">
        <v>597</v>
      </c>
      <c r="B1" s="420"/>
      <c r="C1" s="420"/>
      <c r="D1" s="420"/>
      <c r="E1" s="420"/>
      <c r="F1" s="420"/>
    </row>
    <row r="2" spans="1:6" ht="14.7" customHeight="1">
      <c r="A2" s="54" t="s">
        <v>598</v>
      </c>
      <c r="B2" s="82" t="s">
        <v>167</v>
      </c>
      <c r="C2" s="85" t="s">
        <v>174</v>
      </c>
      <c r="D2" s="85" t="s">
        <v>175</v>
      </c>
      <c r="E2" s="85" t="s">
        <v>176</v>
      </c>
    </row>
    <row r="3" spans="1:6" ht="12.45" customHeight="1">
      <c r="A3" s="14" t="s">
        <v>617</v>
      </c>
      <c r="B3" s="7">
        <v>47000</v>
      </c>
      <c r="C3" s="19" t="s">
        <v>191</v>
      </c>
      <c r="D3" s="19" t="s">
        <v>191</v>
      </c>
      <c r="E3" s="7">
        <v>40000</v>
      </c>
    </row>
    <row r="4" spans="1:6" ht="12.45" customHeight="1">
      <c r="A4" s="10" t="s">
        <v>624</v>
      </c>
      <c r="B4" s="9">
        <v>44000</v>
      </c>
      <c r="C4" s="13" t="s">
        <v>220</v>
      </c>
      <c r="D4" s="13" t="s">
        <v>191</v>
      </c>
      <c r="E4" s="9">
        <v>40000</v>
      </c>
    </row>
    <row r="5" spans="1:6" ht="12.45" customHeight="1">
      <c r="A5" s="10" t="s">
        <v>618</v>
      </c>
      <c r="B5" s="9">
        <v>40000</v>
      </c>
      <c r="C5" s="13" t="s">
        <v>191</v>
      </c>
      <c r="D5" s="13" t="s">
        <v>220</v>
      </c>
      <c r="E5" s="9">
        <v>38000</v>
      </c>
    </row>
    <row r="6" spans="1:6" ht="12.45" customHeight="1">
      <c r="A6" s="10" t="s">
        <v>634</v>
      </c>
      <c r="B6" s="9">
        <v>38000</v>
      </c>
      <c r="C6" s="13" t="s">
        <v>220</v>
      </c>
      <c r="D6" s="13" t="s">
        <v>220</v>
      </c>
      <c r="E6" s="9">
        <v>36000</v>
      </c>
    </row>
    <row r="7" spans="1:6" ht="12.45" customHeight="1">
      <c r="A7" s="10" t="s">
        <v>635</v>
      </c>
      <c r="B7" s="9">
        <v>37000</v>
      </c>
      <c r="C7" s="13" t="s">
        <v>220</v>
      </c>
      <c r="D7" s="13" t="s">
        <v>220</v>
      </c>
      <c r="E7" s="9">
        <v>37000</v>
      </c>
    </row>
    <row r="8" spans="1:6" ht="12.45" customHeight="1">
      <c r="A8" s="20" t="s">
        <v>625</v>
      </c>
      <c r="B8" s="21">
        <v>946000</v>
      </c>
      <c r="C8" s="21">
        <v>57000</v>
      </c>
      <c r="D8" s="21">
        <v>51000</v>
      </c>
      <c r="E8" s="21">
        <v>838000</v>
      </c>
    </row>
    <row r="9" spans="1:6" ht="21.45" customHeight="1">
      <c r="A9" s="421" t="s">
        <v>224</v>
      </c>
      <c r="B9" s="421"/>
      <c r="C9" s="421"/>
      <c r="D9" s="421"/>
      <c r="E9" s="421"/>
      <c r="F9" s="421"/>
    </row>
    <row r="10" spans="1:6" ht="91.5" customHeight="1">
      <c r="A10" s="420" t="s">
        <v>636</v>
      </c>
      <c r="B10" s="420"/>
      <c r="C10" s="420"/>
      <c r="D10" s="420"/>
      <c r="E10" s="420"/>
      <c r="F10" s="420"/>
    </row>
    <row r="11" spans="1:6" ht="1.95" customHeight="1"/>
  </sheetData>
  <mergeCells count="3">
    <mergeCell ref="A1:F1"/>
    <mergeCell ref="A9:F9"/>
    <mergeCell ref="A10:F10"/>
  </mergeCell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I54"/>
  <sheetViews>
    <sheetView topLeftCell="A26" workbookViewId="0">
      <selection activeCell="A55" sqref="A55"/>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39" customHeight="1">
      <c r="A1" s="420" t="s">
        <v>637</v>
      </c>
      <c r="B1" s="420"/>
      <c r="C1" s="420"/>
      <c r="D1" s="420"/>
      <c r="E1" s="420"/>
      <c r="F1" s="420"/>
      <c r="G1" s="420"/>
      <c r="H1" s="420"/>
      <c r="I1" s="420"/>
    </row>
    <row r="2" spans="1:9" ht="1.95" customHeight="1"/>
    <row r="3" spans="1:9" ht="14.7" customHeight="1">
      <c r="A3" s="101" t="s">
        <v>166</v>
      </c>
      <c r="B3" s="86">
        <v>2003</v>
      </c>
      <c r="C3" s="86">
        <v>2010</v>
      </c>
      <c r="D3" s="86">
        <v>2013</v>
      </c>
      <c r="E3" s="86">
        <v>2015</v>
      </c>
      <c r="F3" s="86">
        <v>2017</v>
      </c>
      <c r="G3" s="86">
        <v>2019</v>
      </c>
      <c r="H3" s="86">
        <v>2021</v>
      </c>
    </row>
    <row r="4" spans="1:9" ht="12.45" customHeight="1">
      <c r="A4" s="122" t="s">
        <v>188</v>
      </c>
      <c r="B4" s="107">
        <v>42000</v>
      </c>
      <c r="C4" s="7">
        <v>38000</v>
      </c>
      <c r="D4" s="7">
        <v>40000</v>
      </c>
      <c r="E4" s="7">
        <v>39000</v>
      </c>
      <c r="F4" s="7">
        <v>39000</v>
      </c>
      <c r="G4" s="7">
        <v>59000</v>
      </c>
      <c r="H4" s="7">
        <v>54000</v>
      </c>
    </row>
    <row r="5" spans="1:9" ht="12.45" customHeight="1">
      <c r="A5" s="122" t="s">
        <v>189</v>
      </c>
      <c r="B5" s="105">
        <v>29000</v>
      </c>
      <c r="C5" s="9">
        <v>33000</v>
      </c>
      <c r="D5" s="9">
        <v>33000</v>
      </c>
      <c r="E5" s="9">
        <v>31000</v>
      </c>
      <c r="F5" s="9">
        <v>29000</v>
      </c>
      <c r="G5" s="9">
        <v>40000</v>
      </c>
      <c r="H5" s="9">
        <v>49000</v>
      </c>
    </row>
    <row r="6" spans="1:9" ht="12.45" customHeight="1">
      <c r="A6" s="122" t="s">
        <v>190</v>
      </c>
      <c r="B6" s="105">
        <v>5000</v>
      </c>
      <c r="C6" s="9">
        <v>4000</v>
      </c>
      <c r="D6" s="9">
        <v>4000</v>
      </c>
      <c r="E6" s="13" t="s">
        <v>191</v>
      </c>
      <c r="F6" s="9">
        <v>7000</v>
      </c>
      <c r="G6" s="13" t="s">
        <v>191</v>
      </c>
      <c r="H6" s="13" t="s">
        <v>191</v>
      </c>
    </row>
    <row r="7" spans="1:9" ht="12.45" customHeight="1">
      <c r="A7" s="121" t="s">
        <v>192</v>
      </c>
      <c r="B7" s="105">
        <v>159000</v>
      </c>
      <c r="C7" s="9">
        <v>207000</v>
      </c>
      <c r="D7" s="9">
        <v>226000</v>
      </c>
      <c r="E7" s="9">
        <v>272000</v>
      </c>
      <c r="F7" s="9">
        <v>305000</v>
      </c>
      <c r="G7" s="9">
        <v>327000</v>
      </c>
      <c r="H7" s="9">
        <v>321000</v>
      </c>
    </row>
    <row r="8" spans="1:9" ht="12.45" customHeight="1">
      <c r="A8" s="122" t="s">
        <v>193</v>
      </c>
      <c r="B8" s="105">
        <v>34000</v>
      </c>
      <c r="C8" s="9">
        <v>37000</v>
      </c>
      <c r="D8" s="9">
        <v>38000</v>
      </c>
      <c r="E8" s="9">
        <v>57000</v>
      </c>
      <c r="F8" s="9">
        <v>70000</v>
      </c>
      <c r="G8" s="9">
        <v>79000</v>
      </c>
      <c r="H8" s="9">
        <v>67000</v>
      </c>
    </row>
    <row r="9" spans="1:9" ht="12.45" customHeight="1">
      <c r="A9" s="122" t="s">
        <v>194</v>
      </c>
      <c r="B9" s="105">
        <v>35000</v>
      </c>
      <c r="C9" s="9">
        <v>37000</v>
      </c>
      <c r="D9" s="9">
        <v>39000</v>
      </c>
      <c r="E9" s="9">
        <v>33000</v>
      </c>
      <c r="F9" s="9">
        <v>52000</v>
      </c>
      <c r="G9" s="9">
        <v>48000</v>
      </c>
      <c r="H9" s="9">
        <v>52000</v>
      </c>
    </row>
    <row r="10" spans="1:9" ht="12.45" customHeight="1">
      <c r="A10" s="122" t="s">
        <v>195</v>
      </c>
      <c r="B10" s="105">
        <v>45000</v>
      </c>
      <c r="C10" s="9">
        <v>73000</v>
      </c>
      <c r="D10" s="9">
        <v>77000</v>
      </c>
      <c r="E10" s="9">
        <v>88000</v>
      </c>
      <c r="F10" s="9">
        <v>101000</v>
      </c>
      <c r="G10" s="9">
        <v>116000</v>
      </c>
      <c r="H10" s="9">
        <v>108000</v>
      </c>
    </row>
    <row r="11" spans="1:9" ht="12.45" customHeight="1">
      <c r="A11" s="122" t="s">
        <v>196</v>
      </c>
      <c r="B11" s="105">
        <v>26000</v>
      </c>
      <c r="C11" s="9">
        <v>26000</v>
      </c>
      <c r="D11" s="9">
        <v>38000</v>
      </c>
      <c r="E11" s="9">
        <v>42000</v>
      </c>
      <c r="F11" s="9">
        <v>50000</v>
      </c>
      <c r="G11" s="9">
        <v>45000</v>
      </c>
      <c r="H11" s="9">
        <v>54000</v>
      </c>
    </row>
    <row r="12" spans="1:9" ht="12.45" customHeight="1">
      <c r="A12" s="122" t="s">
        <v>197</v>
      </c>
      <c r="B12" s="105">
        <v>19000</v>
      </c>
      <c r="C12" s="9">
        <v>34000</v>
      </c>
      <c r="D12" s="9">
        <v>35000</v>
      </c>
      <c r="E12" s="9">
        <v>51000</v>
      </c>
      <c r="F12" s="9">
        <v>32000</v>
      </c>
      <c r="G12" s="9">
        <v>39000</v>
      </c>
      <c r="H12" s="9">
        <v>39000</v>
      </c>
    </row>
    <row r="13" spans="1:9" ht="12.45" customHeight="1">
      <c r="A13" s="121" t="s">
        <v>198</v>
      </c>
      <c r="B13" s="105">
        <v>880000</v>
      </c>
      <c r="C13" s="9">
        <v>973000</v>
      </c>
      <c r="D13" s="9">
        <v>1058000</v>
      </c>
      <c r="E13" s="9">
        <v>1197000</v>
      </c>
      <c r="F13" s="9">
        <v>1265000</v>
      </c>
      <c r="G13" s="9">
        <v>1355000</v>
      </c>
      <c r="H13" s="9">
        <v>1470000</v>
      </c>
    </row>
    <row r="14" spans="1:9" ht="12.45" customHeight="1">
      <c r="A14" s="123" t="s">
        <v>199</v>
      </c>
      <c r="B14" s="105">
        <v>25000</v>
      </c>
      <c r="C14" s="9">
        <v>22000</v>
      </c>
      <c r="D14" s="9">
        <v>29000</v>
      </c>
      <c r="E14" s="9">
        <v>40000</v>
      </c>
      <c r="F14" s="9">
        <v>32000</v>
      </c>
      <c r="G14" s="9">
        <v>47000</v>
      </c>
      <c r="H14" s="9">
        <v>47000</v>
      </c>
    </row>
    <row r="15" spans="1:9" ht="12.45" customHeight="1">
      <c r="A15" s="122" t="s">
        <v>200</v>
      </c>
      <c r="B15" s="105">
        <v>59000</v>
      </c>
      <c r="C15" s="9">
        <v>66000</v>
      </c>
      <c r="D15" s="9">
        <v>71000</v>
      </c>
      <c r="E15" s="9">
        <v>83000</v>
      </c>
      <c r="F15" s="9">
        <v>95000</v>
      </c>
      <c r="G15" s="9">
        <v>98000</v>
      </c>
      <c r="H15" s="9">
        <v>112000</v>
      </c>
    </row>
    <row r="16" spans="1:9" ht="12.45" customHeight="1">
      <c r="A16" s="122" t="s">
        <v>201</v>
      </c>
      <c r="B16" s="105">
        <v>157000</v>
      </c>
      <c r="C16" s="9">
        <v>163000</v>
      </c>
      <c r="D16" s="9">
        <v>154000</v>
      </c>
      <c r="E16" s="9">
        <v>150000</v>
      </c>
      <c r="F16" s="9">
        <v>169000</v>
      </c>
      <c r="G16" s="9">
        <v>182000</v>
      </c>
      <c r="H16" s="9">
        <v>194000</v>
      </c>
    </row>
    <row r="17" spans="1:8" ht="12.45" customHeight="1">
      <c r="A17" s="122" t="s">
        <v>202</v>
      </c>
      <c r="B17" s="105">
        <v>312000</v>
      </c>
      <c r="C17" s="9">
        <v>364000</v>
      </c>
      <c r="D17" s="9">
        <v>402000</v>
      </c>
      <c r="E17" s="9">
        <v>476000</v>
      </c>
      <c r="F17" s="9">
        <v>516000</v>
      </c>
      <c r="G17" s="9">
        <v>523000</v>
      </c>
      <c r="H17" s="9">
        <v>569000</v>
      </c>
    </row>
    <row r="18" spans="1:8" ht="12.45" customHeight="1">
      <c r="A18" s="122" t="s">
        <v>203</v>
      </c>
      <c r="B18" s="105">
        <v>37000</v>
      </c>
      <c r="C18" s="9">
        <v>38000</v>
      </c>
      <c r="D18" s="9">
        <v>54000</v>
      </c>
      <c r="E18" s="9">
        <v>53000</v>
      </c>
      <c r="F18" s="9">
        <v>51000</v>
      </c>
      <c r="G18" s="9">
        <v>54000</v>
      </c>
      <c r="H18" s="9">
        <v>46000</v>
      </c>
    </row>
    <row r="19" spans="1:8" ht="12.45" customHeight="1">
      <c r="A19" s="122" t="s">
        <v>204</v>
      </c>
      <c r="B19" s="105">
        <v>205000</v>
      </c>
      <c r="C19" s="9">
        <v>229000</v>
      </c>
      <c r="D19" s="9">
        <v>247000</v>
      </c>
      <c r="E19" s="9">
        <v>297000</v>
      </c>
      <c r="F19" s="9">
        <v>284000</v>
      </c>
      <c r="G19" s="9">
        <v>325000</v>
      </c>
      <c r="H19" s="9">
        <v>372000</v>
      </c>
    </row>
    <row r="20" spans="1:8" ht="12.45" customHeight="1">
      <c r="A20" s="122" t="s">
        <v>205</v>
      </c>
      <c r="B20" s="105">
        <v>84000</v>
      </c>
      <c r="C20" s="9">
        <v>91000</v>
      </c>
      <c r="D20" s="9">
        <v>99000</v>
      </c>
      <c r="E20" s="9">
        <v>98000</v>
      </c>
      <c r="F20" s="9">
        <v>118000</v>
      </c>
      <c r="G20" s="9">
        <v>125000</v>
      </c>
      <c r="H20" s="9">
        <v>130000</v>
      </c>
    </row>
    <row r="21" spans="1:8" ht="12.45" customHeight="1">
      <c r="A21" s="120" t="s">
        <v>206</v>
      </c>
      <c r="B21" s="105">
        <v>151000</v>
      </c>
      <c r="C21" s="9">
        <v>180000</v>
      </c>
      <c r="D21" s="9">
        <v>170000</v>
      </c>
      <c r="E21" s="9">
        <v>183000</v>
      </c>
      <c r="F21" s="9">
        <v>189000</v>
      </c>
      <c r="G21" s="9">
        <v>193000</v>
      </c>
      <c r="H21" s="9">
        <v>203000</v>
      </c>
    </row>
    <row r="22" spans="1:8" ht="12.45" customHeight="1">
      <c r="A22" s="121" t="s">
        <v>207</v>
      </c>
      <c r="B22" s="105">
        <v>28000</v>
      </c>
      <c r="C22" s="9">
        <v>44000</v>
      </c>
      <c r="D22" s="9">
        <v>37000</v>
      </c>
      <c r="E22" s="9">
        <v>43000</v>
      </c>
      <c r="F22" s="9">
        <v>43000</v>
      </c>
      <c r="G22" s="9">
        <v>36000</v>
      </c>
      <c r="H22" s="9">
        <v>57000</v>
      </c>
    </row>
    <row r="23" spans="1:8" ht="12.45" customHeight="1">
      <c r="A23" s="121" t="s">
        <v>208</v>
      </c>
      <c r="B23" s="105">
        <v>7000</v>
      </c>
      <c r="C23" s="9">
        <v>10000</v>
      </c>
      <c r="D23" s="9">
        <v>8000</v>
      </c>
      <c r="E23" s="9">
        <v>5000</v>
      </c>
      <c r="F23" s="9">
        <v>5000</v>
      </c>
      <c r="G23" s="9">
        <v>4000</v>
      </c>
      <c r="H23" s="13" t="s">
        <v>191</v>
      </c>
    </row>
    <row r="24" spans="1:8" ht="12.45" customHeight="1">
      <c r="A24" s="121" t="s">
        <v>209</v>
      </c>
      <c r="B24" s="105">
        <v>102000</v>
      </c>
      <c r="C24" s="9">
        <v>115000</v>
      </c>
      <c r="D24" s="9">
        <v>109000</v>
      </c>
      <c r="E24" s="9">
        <v>117000</v>
      </c>
      <c r="F24" s="9">
        <v>125000</v>
      </c>
      <c r="G24" s="9">
        <v>132000</v>
      </c>
      <c r="H24" s="9">
        <v>117000</v>
      </c>
    </row>
    <row r="25" spans="1:8" ht="12.45" customHeight="1">
      <c r="A25" s="121" t="s">
        <v>210</v>
      </c>
      <c r="B25" s="105">
        <v>13000</v>
      </c>
      <c r="C25" s="9">
        <v>12000</v>
      </c>
      <c r="D25" s="9">
        <v>16000</v>
      </c>
      <c r="E25" s="9">
        <v>18000</v>
      </c>
      <c r="F25" s="9">
        <v>16000</v>
      </c>
      <c r="G25" s="9">
        <v>21000</v>
      </c>
      <c r="H25" s="9">
        <v>18000</v>
      </c>
    </row>
    <row r="26" spans="1:8" ht="12.45" customHeight="1">
      <c r="A26" s="120" t="s">
        <v>211</v>
      </c>
      <c r="B26" s="105">
        <v>558000</v>
      </c>
      <c r="C26" s="9">
        <v>596000</v>
      </c>
      <c r="D26" s="9">
        <v>637000</v>
      </c>
      <c r="E26" s="9">
        <v>628000</v>
      </c>
      <c r="F26" s="9">
        <v>740000</v>
      </c>
      <c r="G26" s="9">
        <v>732000</v>
      </c>
      <c r="H26" s="9">
        <v>736000</v>
      </c>
    </row>
    <row r="27" spans="1:8" ht="12.45" customHeight="1">
      <c r="A27" s="121" t="s">
        <v>212</v>
      </c>
      <c r="B27" s="105">
        <v>263000</v>
      </c>
      <c r="C27" s="9">
        <v>309000</v>
      </c>
      <c r="D27" s="9">
        <v>264000</v>
      </c>
      <c r="E27" s="9">
        <v>263000</v>
      </c>
      <c r="F27" s="9">
        <v>274000</v>
      </c>
      <c r="G27" s="9">
        <v>344000</v>
      </c>
      <c r="H27" s="9">
        <v>292000</v>
      </c>
    </row>
    <row r="28" spans="1:8" ht="12.45" customHeight="1">
      <c r="A28" s="185" t="s">
        <v>213</v>
      </c>
      <c r="B28" s="105">
        <v>37000</v>
      </c>
      <c r="C28" s="9">
        <v>22000</v>
      </c>
      <c r="D28" s="9">
        <v>19000</v>
      </c>
      <c r="E28" s="9">
        <v>18000</v>
      </c>
      <c r="F28" s="9">
        <v>38000</v>
      </c>
      <c r="G28" s="9">
        <v>28000</v>
      </c>
      <c r="H28" s="9">
        <v>32000</v>
      </c>
    </row>
    <row r="29" spans="1:8" ht="12.45" customHeight="1">
      <c r="A29" s="121" t="s">
        <v>214</v>
      </c>
      <c r="B29" s="105">
        <v>17000</v>
      </c>
      <c r="C29" s="9">
        <v>14000</v>
      </c>
      <c r="D29" s="9">
        <v>22000</v>
      </c>
      <c r="E29" s="9">
        <v>15000</v>
      </c>
      <c r="F29" s="9">
        <v>17000</v>
      </c>
      <c r="G29" s="9">
        <v>22000</v>
      </c>
      <c r="H29" s="9">
        <v>26000</v>
      </c>
    </row>
    <row r="30" spans="1:8" ht="12.45" customHeight="1">
      <c r="A30" s="121" t="s">
        <v>215</v>
      </c>
      <c r="B30" s="105">
        <v>33000</v>
      </c>
      <c r="C30" s="9">
        <v>31000</v>
      </c>
      <c r="D30" s="9">
        <v>21000</v>
      </c>
      <c r="E30" s="9">
        <v>24000</v>
      </c>
      <c r="F30" s="9">
        <v>83000</v>
      </c>
      <c r="G30" s="9">
        <v>37000</v>
      </c>
      <c r="H30" s="9">
        <v>44000</v>
      </c>
    </row>
    <row r="31" spans="1:8" ht="12.45" customHeight="1">
      <c r="A31" s="121" t="s">
        <v>216</v>
      </c>
      <c r="B31" s="105">
        <v>123000</v>
      </c>
      <c r="C31" s="9">
        <v>149000</v>
      </c>
      <c r="D31" s="9">
        <v>164000</v>
      </c>
      <c r="E31" s="9">
        <v>191000</v>
      </c>
      <c r="F31" s="9">
        <v>197000</v>
      </c>
      <c r="G31" s="9">
        <v>189000</v>
      </c>
      <c r="H31" s="9">
        <v>231000</v>
      </c>
    </row>
    <row r="32" spans="1:8" ht="12.45" customHeight="1">
      <c r="A32" s="121" t="s">
        <v>217</v>
      </c>
      <c r="B32" s="105">
        <v>85000</v>
      </c>
      <c r="C32" s="9">
        <v>71000</v>
      </c>
      <c r="D32" s="9">
        <v>146000</v>
      </c>
      <c r="E32" s="9">
        <v>117000</v>
      </c>
      <c r="F32" s="9">
        <v>130000</v>
      </c>
      <c r="G32" s="9">
        <v>112000</v>
      </c>
      <c r="H32" s="9">
        <v>112000</v>
      </c>
    </row>
    <row r="33" spans="1:8" ht="12.45" customHeight="1">
      <c r="A33" s="114" t="s">
        <v>219</v>
      </c>
      <c r="B33" s="144">
        <v>1406000</v>
      </c>
      <c r="C33" s="143">
        <v>1644000</v>
      </c>
      <c r="D33" s="143">
        <v>1689000</v>
      </c>
      <c r="E33" s="143">
        <v>2076000</v>
      </c>
      <c r="F33" s="143">
        <v>2069000</v>
      </c>
      <c r="G33" s="143">
        <v>2286000</v>
      </c>
      <c r="H33" s="143">
        <v>2411000</v>
      </c>
    </row>
    <row r="34" spans="1:8" ht="12.45" customHeight="1">
      <c r="A34" s="115" t="s">
        <v>178</v>
      </c>
      <c r="B34" s="105">
        <v>929000</v>
      </c>
      <c r="C34" s="9">
        <v>1126000</v>
      </c>
      <c r="D34" s="9">
        <v>1192000</v>
      </c>
      <c r="E34" s="9">
        <v>1461000</v>
      </c>
      <c r="F34" s="9">
        <v>1442000</v>
      </c>
      <c r="G34" s="9">
        <v>1589000</v>
      </c>
      <c r="H34" s="9">
        <v>1671000</v>
      </c>
    </row>
    <row r="35" spans="1:8" ht="12.45" customHeight="1">
      <c r="A35" s="186" t="s">
        <v>179</v>
      </c>
      <c r="B35" s="105">
        <v>82000</v>
      </c>
      <c r="C35" s="9">
        <v>123000</v>
      </c>
      <c r="D35" s="9">
        <v>119000</v>
      </c>
      <c r="E35" s="9">
        <v>175000</v>
      </c>
      <c r="F35" s="9">
        <v>123000</v>
      </c>
      <c r="G35" s="9">
        <v>132000</v>
      </c>
      <c r="H35" s="9">
        <v>157000</v>
      </c>
    </row>
    <row r="36" spans="1:8" ht="12.45" customHeight="1">
      <c r="A36" s="117" t="s">
        <v>180</v>
      </c>
      <c r="B36" s="105">
        <v>9000</v>
      </c>
      <c r="C36" s="9">
        <v>25000</v>
      </c>
      <c r="D36" s="9">
        <v>23000</v>
      </c>
      <c r="E36" s="9">
        <v>29000</v>
      </c>
      <c r="F36" s="9">
        <v>21000</v>
      </c>
      <c r="G36" s="9">
        <v>13000</v>
      </c>
      <c r="H36" s="9">
        <v>20000</v>
      </c>
    </row>
    <row r="37" spans="1:8" ht="12.45" customHeight="1">
      <c r="A37" s="117" t="s">
        <v>181</v>
      </c>
      <c r="B37" s="105">
        <v>57000</v>
      </c>
      <c r="C37" s="9">
        <v>78000</v>
      </c>
      <c r="D37" s="9">
        <v>79000</v>
      </c>
      <c r="E37" s="9">
        <v>125000</v>
      </c>
      <c r="F37" s="9">
        <v>83000</v>
      </c>
      <c r="G37" s="9">
        <v>90000</v>
      </c>
      <c r="H37" s="9">
        <v>107000</v>
      </c>
    </row>
    <row r="38" spans="1:8" ht="12.45" customHeight="1">
      <c r="A38" s="117" t="s">
        <v>182</v>
      </c>
      <c r="B38" s="105">
        <v>15000</v>
      </c>
      <c r="C38" s="9">
        <v>20000</v>
      </c>
      <c r="D38" s="9">
        <v>17000</v>
      </c>
      <c r="E38" s="9">
        <v>21000</v>
      </c>
      <c r="F38" s="9">
        <v>18000</v>
      </c>
      <c r="G38" s="9">
        <v>28000</v>
      </c>
      <c r="H38" s="9">
        <v>29000</v>
      </c>
    </row>
    <row r="39" spans="1:8" ht="12.45" customHeight="1">
      <c r="A39" s="116" t="s">
        <v>183</v>
      </c>
      <c r="B39" s="105">
        <v>246000</v>
      </c>
      <c r="C39" s="9">
        <v>321000</v>
      </c>
      <c r="D39" s="9">
        <v>375000</v>
      </c>
      <c r="E39" s="9">
        <v>474000</v>
      </c>
      <c r="F39" s="9">
        <v>482000</v>
      </c>
      <c r="G39" s="9">
        <v>543000</v>
      </c>
      <c r="H39" s="9">
        <v>560000</v>
      </c>
    </row>
    <row r="40" spans="1:8" ht="12.45" customHeight="1">
      <c r="A40" s="117" t="s">
        <v>184</v>
      </c>
      <c r="B40" s="105">
        <v>194000</v>
      </c>
      <c r="C40" s="9">
        <v>255000</v>
      </c>
      <c r="D40" s="9">
        <v>308000</v>
      </c>
      <c r="E40" s="9">
        <v>401000</v>
      </c>
      <c r="F40" s="9">
        <v>411000</v>
      </c>
      <c r="G40" s="9">
        <v>463000</v>
      </c>
      <c r="H40" s="9">
        <v>481000</v>
      </c>
    </row>
    <row r="41" spans="1:8" ht="12.45" customHeight="1">
      <c r="A41" s="117" t="s">
        <v>185</v>
      </c>
      <c r="B41" s="105">
        <v>52000</v>
      </c>
      <c r="C41" s="9">
        <v>65000</v>
      </c>
      <c r="D41" s="9">
        <v>67000</v>
      </c>
      <c r="E41" s="9">
        <v>73000</v>
      </c>
      <c r="F41" s="9">
        <v>70000</v>
      </c>
      <c r="G41" s="9">
        <v>81000</v>
      </c>
      <c r="H41" s="9">
        <v>79000</v>
      </c>
    </row>
    <row r="42" spans="1:8" ht="12.45" customHeight="1">
      <c r="A42" s="116" t="s">
        <v>186</v>
      </c>
      <c r="B42" s="105">
        <v>75000</v>
      </c>
      <c r="C42" s="9">
        <v>78000</v>
      </c>
      <c r="D42" s="9">
        <v>81000</v>
      </c>
      <c r="E42" s="9">
        <v>91000</v>
      </c>
      <c r="F42" s="9">
        <v>98000</v>
      </c>
      <c r="G42" s="9">
        <v>88000</v>
      </c>
      <c r="H42" s="9">
        <v>106000</v>
      </c>
    </row>
    <row r="43" spans="1:8" ht="12.45" customHeight="1">
      <c r="A43" s="117" t="s">
        <v>187</v>
      </c>
      <c r="B43" s="105">
        <v>26000</v>
      </c>
      <c r="C43" s="9">
        <v>24000</v>
      </c>
      <c r="D43" s="9">
        <v>26000</v>
      </c>
      <c r="E43" s="9">
        <v>25000</v>
      </c>
      <c r="F43" s="9">
        <v>32000</v>
      </c>
      <c r="G43" s="9">
        <v>26000</v>
      </c>
      <c r="H43" s="9">
        <v>28000</v>
      </c>
    </row>
    <row r="44" spans="1:8" ht="12.45" customHeight="1">
      <c r="A44" s="117" t="s">
        <v>188</v>
      </c>
      <c r="B44" s="105">
        <v>29000</v>
      </c>
      <c r="C44" s="9">
        <v>32000</v>
      </c>
      <c r="D44" s="9">
        <v>34000</v>
      </c>
      <c r="E44" s="9">
        <v>41000</v>
      </c>
      <c r="F44" s="9">
        <v>38000</v>
      </c>
      <c r="G44" s="9">
        <v>28000</v>
      </c>
      <c r="H44" s="9">
        <v>39000</v>
      </c>
    </row>
    <row r="45" spans="1:8" ht="12.45" customHeight="1">
      <c r="A45" s="117" t="s">
        <v>189</v>
      </c>
      <c r="B45" s="105">
        <v>19000</v>
      </c>
      <c r="C45" s="9">
        <v>19000</v>
      </c>
      <c r="D45" s="9">
        <v>20000</v>
      </c>
      <c r="E45" s="9">
        <v>24000</v>
      </c>
      <c r="F45" s="9">
        <v>27000</v>
      </c>
      <c r="G45" s="9">
        <v>33000</v>
      </c>
      <c r="H45" s="9">
        <v>37000</v>
      </c>
    </row>
    <row r="46" spans="1:8" ht="12.45" customHeight="1">
      <c r="A46" s="117" t="s">
        <v>190</v>
      </c>
      <c r="B46" s="105">
        <v>1000</v>
      </c>
      <c r="C46" s="9">
        <v>3000</v>
      </c>
      <c r="D46" s="9">
        <v>1000</v>
      </c>
      <c r="E46" s="9">
        <v>1000</v>
      </c>
      <c r="F46" s="9">
        <v>1000</v>
      </c>
      <c r="G46" s="9">
        <v>1000</v>
      </c>
      <c r="H46" s="13" t="s">
        <v>191</v>
      </c>
    </row>
    <row r="47" spans="1:8" ht="12.45" customHeight="1">
      <c r="A47" s="116" t="s">
        <v>192</v>
      </c>
      <c r="B47" s="105">
        <v>146000</v>
      </c>
      <c r="C47" s="9">
        <v>179000</v>
      </c>
      <c r="D47" s="9">
        <v>182000</v>
      </c>
      <c r="E47" s="9">
        <v>203000</v>
      </c>
      <c r="F47" s="9">
        <v>176000</v>
      </c>
      <c r="G47" s="9">
        <v>194000</v>
      </c>
      <c r="H47" s="9">
        <v>212000</v>
      </c>
    </row>
    <row r="48" spans="1:8" ht="12.45" customHeight="1">
      <c r="A48" s="117" t="s">
        <v>193</v>
      </c>
      <c r="B48" s="105">
        <v>17000</v>
      </c>
      <c r="C48" s="9">
        <v>17000</v>
      </c>
      <c r="D48" s="9">
        <v>19000</v>
      </c>
      <c r="E48" s="9">
        <v>20000</v>
      </c>
      <c r="F48" s="9">
        <v>20000</v>
      </c>
      <c r="G48" s="9">
        <v>26000</v>
      </c>
      <c r="H48" s="9">
        <v>30000</v>
      </c>
    </row>
    <row r="49" spans="1:8" ht="12.45" customHeight="1">
      <c r="A49" s="117" t="s">
        <v>194</v>
      </c>
      <c r="B49" s="105">
        <v>17000</v>
      </c>
      <c r="C49" s="9">
        <v>37000</v>
      </c>
      <c r="D49" s="9">
        <v>27000</v>
      </c>
      <c r="E49" s="9">
        <v>39000</v>
      </c>
      <c r="F49" s="9">
        <v>37000</v>
      </c>
      <c r="G49" s="9">
        <v>34000</v>
      </c>
      <c r="H49" s="9">
        <v>46000</v>
      </c>
    </row>
    <row r="50" spans="1:8" ht="12.45" customHeight="1">
      <c r="A50" s="117" t="s">
        <v>195</v>
      </c>
      <c r="B50" s="105">
        <v>84000</v>
      </c>
      <c r="C50" s="9">
        <v>82000</v>
      </c>
      <c r="D50" s="9">
        <v>99000</v>
      </c>
      <c r="E50" s="9">
        <v>102000</v>
      </c>
      <c r="F50" s="9">
        <v>87000</v>
      </c>
      <c r="G50" s="9">
        <v>92000</v>
      </c>
      <c r="H50" s="9">
        <v>96000</v>
      </c>
    </row>
    <row r="51" spans="1:8" ht="12.45" customHeight="1">
      <c r="A51" s="117" t="s">
        <v>196</v>
      </c>
      <c r="B51" s="105">
        <v>18000</v>
      </c>
      <c r="C51" s="9">
        <v>20000</v>
      </c>
      <c r="D51" s="9">
        <v>16000</v>
      </c>
      <c r="E51" s="9">
        <v>24000</v>
      </c>
      <c r="F51" s="9">
        <v>18000</v>
      </c>
      <c r="G51" s="9">
        <v>19000</v>
      </c>
      <c r="H51" s="9">
        <v>22000</v>
      </c>
    </row>
    <row r="52" spans="1:8" ht="12.45" customHeight="1">
      <c r="A52" s="117" t="s">
        <v>197</v>
      </c>
      <c r="B52" s="105">
        <v>10000</v>
      </c>
      <c r="C52" s="9">
        <v>23000</v>
      </c>
      <c r="D52" s="9">
        <v>21000</v>
      </c>
      <c r="E52" s="9">
        <v>16000</v>
      </c>
      <c r="F52" s="9">
        <v>14000</v>
      </c>
      <c r="G52" s="9">
        <v>23000</v>
      </c>
      <c r="H52" s="9">
        <v>18000</v>
      </c>
    </row>
    <row r="53" spans="1:8" ht="12.45" customHeight="1">
      <c r="A53" s="116" t="s">
        <v>198</v>
      </c>
      <c r="B53" s="105">
        <v>381000</v>
      </c>
      <c r="C53" s="9">
        <v>425000</v>
      </c>
      <c r="D53" s="9">
        <v>434000</v>
      </c>
      <c r="E53" s="9">
        <v>518000</v>
      </c>
      <c r="F53" s="9">
        <v>563000</v>
      </c>
      <c r="G53" s="9">
        <v>632000</v>
      </c>
      <c r="H53" s="9">
        <v>635000</v>
      </c>
    </row>
    <row r="54" spans="1:8" ht="12.45" customHeight="1">
      <c r="A54" s="118" t="s">
        <v>199</v>
      </c>
      <c r="B54" s="105">
        <v>12000</v>
      </c>
      <c r="C54" s="9">
        <v>16000</v>
      </c>
      <c r="D54" s="9">
        <v>13000</v>
      </c>
      <c r="E54" s="9">
        <v>17000</v>
      </c>
      <c r="F54" s="9">
        <v>22000</v>
      </c>
      <c r="G54" s="9">
        <v>27000</v>
      </c>
      <c r="H54" s="9">
        <v>29000</v>
      </c>
    </row>
  </sheetData>
  <mergeCells count="1">
    <mergeCell ref="A1:I1"/>
  </mergeCell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I54"/>
  <sheetViews>
    <sheetView topLeftCell="A27" workbookViewId="0">
      <selection activeCell="A4" sqref="A4:H54"/>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39" customHeight="1">
      <c r="A1" s="420" t="s">
        <v>637</v>
      </c>
      <c r="B1" s="420"/>
      <c r="C1" s="420"/>
      <c r="D1" s="420"/>
      <c r="E1" s="420"/>
      <c r="F1" s="420"/>
      <c r="G1" s="420"/>
      <c r="H1" s="420"/>
      <c r="I1" s="420"/>
    </row>
    <row r="2" spans="1:9" ht="1.95" customHeight="1"/>
    <row r="3" spans="1:9" ht="14.7" customHeight="1">
      <c r="A3" s="101" t="s">
        <v>166</v>
      </c>
      <c r="B3" s="86">
        <v>2003</v>
      </c>
      <c r="C3" s="86">
        <v>2010</v>
      </c>
      <c r="D3" s="86">
        <v>2013</v>
      </c>
      <c r="E3" s="86">
        <v>2015</v>
      </c>
      <c r="F3" s="86">
        <v>2017</v>
      </c>
      <c r="G3" s="86">
        <v>2019</v>
      </c>
      <c r="H3" s="86">
        <v>2021</v>
      </c>
    </row>
    <row r="4" spans="1:9" ht="12.45" customHeight="1">
      <c r="A4" s="117" t="s">
        <v>200</v>
      </c>
      <c r="B4" s="107">
        <v>18000</v>
      </c>
      <c r="C4" s="7">
        <v>16000</v>
      </c>
      <c r="D4" s="7">
        <v>18000</v>
      </c>
      <c r="E4" s="7">
        <v>18000</v>
      </c>
      <c r="F4" s="7">
        <v>21000</v>
      </c>
      <c r="G4" s="7">
        <v>17000</v>
      </c>
      <c r="H4" s="7">
        <v>19000</v>
      </c>
    </row>
    <row r="5" spans="1:9" ht="12.45" customHeight="1">
      <c r="A5" s="117" t="s">
        <v>201</v>
      </c>
      <c r="B5" s="105">
        <v>58000</v>
      </c>
      <c r="C5" s="9">
        <v>53000</v>
      </c>
      <c r="D5" s="9">
        <v>63000</v>
      </c>
      <c r="E5" s="9">
        <v>76000</v>
      </c>
      <c r="F5" s="9">
        <v>69000</v>
      </c>
      <c r="G5" s="9">
        <v>85000</v>
      </c>
      <c r="H5" s="9">
        <v>85000</v>
      </c>
    </row>
    <row r="6" spans="1:9" ht="12.45" customHeight="1">
      <c r="A6" s="117" t="s">
        <v>202</v>
      </c>
      <c r="B6" s="105">
        <v>152000</v>
      </c>
      <c r="C6" s="9">
        <v>183000</v>
      </c>
      <c r="D6" s="9">
        <v>179000</v>
      </c>
      <c r="E6" s="9">
        <v>227000</v>
      </c>
      <c r="F6" s="9">
        <v>257000</v>
      </c>
      <c r="G6" s="9">
        <v>273000</v>
      </c>
      <c r="H6" s="9">
        <v>262000</v>
      </c>
    </row>
    <row r="7" spans="1:9" ht="12.45" customHeight="1">
      <c r="A7" s="117" t="s">
        <v>203</v>
      </c>
      <c r="B7" s="105">
        <v>18000</v>
      </c>
      <c r="C7" s="9">
        <v>22000</v>
      </c>
      <c r="D7" s="9">
        <v>17000</v>
      </c>
      <c r="E7" s="9">
        <v>21000</v>
      </c>
      <c r="F7" s="9">
        <v>28000</v>
      </c>
      <c r="G7" s="9">
        <v>26000</v>
      </c>
      <c r="H7" s="9">
        <v>31000</v>
      </c>
    </row>
    <row r="8" spans="1:9" ht="12.45" customHeight="1">
      <c r="A8" s="117" t="s">
        <v>204</v>
      </c>
      <c r="B8" s="105">
        <v>60000</v>
      </c>
      <c r="C8" s="9">
        <v>67000</v>
      </c>
      <c r="D8" s="9">
        <v>70000</v>
      </c>
      <c r="E8" s="9">
        <v>79000</v>
      </c>
      <c r="F8" s="9">
        <v>79000</v>
      </c>
      <c r="G8" s="9">
        <v>104000</v>
      </c>
      <c r="H8" s="9">
        <v>107000</v>
      </c>
    </row>
    <row r="9" spans="1:9" ht="12.45" customHeight="1">
      <c r="A9" s="117" t="s">
        <v>205</v>
      </c>
      <c r="B9" s="105">
        <v>65000</v>
      </c>
      <c r="C9" s="9">
        <v>69000</v>
      </c>
      <c r="D9" s="9">
        <v>75000</v>
      </c>
      <c r="E9" s="9">
        <v>81000</v>
      </c>
      <c r="F9" s="9">
        <v>86000</v>
      </c>
      <c r="G9" s="9">
        <v>101000</v>
      </c>
      <c r="H9" s="9">
        <v>102000</v>
      </c>
    </row>
    <row r="10" spans="1:9" ht="12.45" customHeight="1">
      <c r="A10" s="115" t="s">
        <v>206</v>
      </c>
      <c r="B10" s="105">
        <v>81000</v>
      </c>
      <c r="C10" s="9">
        <v>99000</v>
      </c>
      <c r="D10" s="9">
        <v>102000</v>
      </c>
      <c r="E10" s="9">
        <v>125000</v>
      </c>
      <c r="F10" s="9">
        <v>131000</v>
      </c>
      <c r="G10" s="9">
        <v>172000</v>
      </c>
      <c r="H10" s="9">
        <v>156000</v>
      </c>
    </row>
    <row r="11" spans="1:9" ht="12.45" customHeight="1">
      <c r="A11" s="116" t="s">
        <v>207</v>
      </c>
      <c r="B11" s="105">
        <v>28000</v>
      </c>
      <c r="C11" s="9">
        <v>33000</v>
      </c>
      <c r="D11" s="9">
        <v>35000</v>
      </c>
      <c r="E11" s="9">
        <v>42000</v>
      </c>
      <c r="F11" s="9">
        <v>52000</v>
      </c>
      <c r="G11" s="9">
        <v>76000</v>
      </c>
      <c r="H11" s="9">
        <v>65000</v>
      </c>
    </row>
    <row r="12" spans="1:9" ht="12.45" customHeight="1">
      <c r="A12" s="116" t="s">
        <v>208</v>
      </c>
      <c r="B12" s="105">
        <v>13000</v>
      </c>
      <c r="C12" s="9">
        <v>10000</v>
      </c>
      <c r="D12" s="9">
        <v>18000</v>
      </c>
      <c r="E12" s="9">
        <v>14000</v>
      </c>
      <c r="F12" s="9">
        <v>19000</v>
      </c>
      <c r="G12" s="9">
        <v>21000</v>
      </c>
      <c r="H12" s="9">
        <v>14000</v>
      </c>
    </row>
    <row r="13" spans="1:9" ht="12.45" customHeight="1">
      <c r="A13" s="116" t="s">
        <v>209</v>
      </c>
      <c r="B13" s="105">
        <v>26000</v>
      </c>
      <c r="C13" s="9">
        <v>34000</v>
      </c>
      <c r="D13" s="9">
        <v>24000</v>
      </c>
      <c r="E13" s="9">
        <v>44000</v>
      </c>
      <c r="F13" s="9">
        <v>43000</v>
      </c>
      <c r="G13" s="9">
        <v>49000</v>
      </c>
      <c r="H13" s="9">
        <v>48000</v>
      </c>
    </row>
    <row r="14" spans="1:9" ht="12.45" customHeight="1">
      <c r="A14" s="116" t="s">
        <v>210</v>
      </c>
      <c r="B14" s="105">
        <v>14000</v>
      </c>
      <c r="C14" s="9">
        <v>21000</v>
      </c>
      <c r="D14" s="9">
        <v>25000</v>
      </c>
      <c r="E14" s="9">
        <v>25000</v>
      </c>
      <c r="F14" s="9">
        <v>17000</v>
      </c>
      <c r="G14" s="9">
        <v>27000</v>
      </c>
      <c r="H14" s="9">
        <v>28000</v>
      </c>
    </row>
    <row r="15" spans="1:9" ht="12.45" customHeight="1">
      <c r="A15" s="115" t="s">
        <v>211</v>
      </c>
      <c r="B15" s="105">
        <v>395000</v>
      </c>
      <c r="C15" s="9">
        <v>419000</v>
      </c>
      <c r="D15" s="9">
        <v>396000</v>
      </c>
      <c r="E15" s="9">
        <v>490000</v>
      </c>
      <c r="F15" s="9">
        <v>496000</v>
      </c>
      <c r="G15" s="9">
        <v>524000</v>
      </c>
      <c r="H15" s="9">
        <v>584000</v>
      </c>
    </row>
    <row r="16" spans="1:9" ht="12.45" customHeight="1">
      <c r="A16" s="116" t="s">
        <v>212</v>
      </c>
      <c r="B16" s="105">
        <v>245000</v>
      </c>
      <c r="C16" s="9">
        <v>255000</v>
      </c>
      <c r="D16" s="9">
        <v>246000</v>
      </c>
      <c r="E16" s="9">
        <v>290000</v>
      </c>
      <c r="F16" s="9">
        <v>295000</v>
      </c>
      <c r="G16" s="9">
        <v>314000</v>
      </c>
      <c r="H16" s="9">
        <v>349000</v>
      </c>
    </row>
    <row r="17" spans="1:8" ht="12.45" customHeight="1">
      <c r="A17" s="186" t="s">
        <v>213</v>
      </c>
      <c r="B17" s="105">
        <v>43000</v>
      </c>
      <c r="C17" s="9">
        <v>27000</v>
      </c>
      <c r="D17" s="9">
        <v>29000</v>
      </c>
      <c r="E17" s="9">
        <v>39000</v>
      </c>
      <c r="F17" s="9">
        <v>54000</v>
      </c>
      <c r="G17" s="9">
        <v>40000</v>
      </c>
      <c r="H17" s="9">
        <v>53000</v>
      </c>
    </row>
    <row r="18" spans="1:8" ht="12.45" customHeight="1">
      <c r="A18" s="116" t="s">
        <v>214</v>
      </c>
      <c r="B18" s="105">
        <v>27000</v>
      </c>
      <c r="C18" s="9">
        <v>36000</v>
      </c>
      <c r="D18" s="9">
        <v>34000</v>
      </c>
      <c r="E18" s="9">
        <v>37000</v>
      </c>
      <c r="F18" s="9">
        <v>33000</v>
      </c>
      <c r="G18" s="9">
        <v>40000</v>
      </c>
      <c r="H18" s="9">
        <v>39000</v>
      </c>
    </row>
    <row r="19" spans="1:8" ht="12.45" customHeight="1">
      <c r="A19" s="116" t="s">
        <v>215</v>
      </c>
      <c r="B19" s="105">
        <v>19000</v>
      </c>
      <c r="C19" s="9">
        <v>11000</v>
      </c>
      <c r="D19" s="9">
        <v>12000</v>
      </c>
      <c r="E19" s="9">
        <v>19000</v>
      </c>
      <c r="F19" s="9">
        <v>20000</v>
      </c>
      <c r="G19" s="9">
        <v>16000</v>
      </c>
      <c r="H19" s="9">
        <v>17000</v>
      </c>
    </row>
    <row r="20" spans="1:8" ht="12.45" customHeight="1">
      <c r="A20" s="116" t="s">
        <v>216</v>
      </c>
      <c r="B20" s="105">
        <v>20000</v>
      </c>
      <c r="C20" s="9">
        <v>27000</v>
      </c>
      <c r="D20" s="9">
        <v>24000</v>
      </c>
      <c r="E20" s="9">
        <v>32000</v>
      </c>
      <c r="F20" s="9">
        <v>25000</v>
      </c>
      <c r="G20" s="9">
        <v>30000</v>
      </c>
      <c r="H20" s="9">
        <v>38000</v>
      </c>
    </row>
    <row r="21" spans="1:8" ht="12.45" customHeight="1">
      <c r="A21" s="116" t="s">
        <v>217</v>
      </c>
      <c r="B21" s="105">
        <v>41000</v>
      </c>
      <c r="C21" s="9">
        <v>64000</v>
      </c>
      <c r="D21" s="9">
        <v>52000</v>
      </c>
      <c r="E21" s="9">
        <v>73000</v>
      </c>
      <c r="F21" s="9">
        <v>69000</v>
      </c>
      <c r="G21" s="9">
        <v>84000</v>
      </c>
      <c r="H21" s="9">
        <v>89000</v>
      </c>
    </row>
    <row r="22" spans="1:8" ht="12.45" customHeight="1">
      <c r="A22" s="135" t="s">
        <v>221</v>
      </c>
      <c r="B22" s="136">
        <v>605000</v>
      </c>
      <c r="C22" s="137">
        <v>692000</v>
      </c>
      <c r="D22" s="137">
        <v>724000</v>
      </c>
      <c r="E22" s="137">
        <v>751000</v>
      </c>
      <c r="F22" s="137">
        <v>786000</v>
      </c>
      <c r="G22" s="137">
        <v>938000</v>
      </c>
      <c r="H22" s="137">
        <v>962000</v>
      </c>
    </row>
    <row r="23" spans="1:8" ht="12.45" customHeight="1">
      <c r="A23" s="138" t="s">
        <v>178</v>
      </c>
      <c r="B23" s="105">
        <v>556000</v>
      </c>
      <c r="C23" s="9">
        <v>624000</v>
      </c>
      <c r="D23" s="9">
        <v>650000</v>
      </c>
      <c r="E23" s="9">
        <v>664000</v>
      </c>
      <c r="F23" s="9">
        <v>702000</v>
      </c>
      <c r="G23" s="9">
        <v>841000</v>
      </c>
      <c r="H23" s="9">
        <v>861000</v>
      </c>
    </row>
    <row r="24" spans="1:8" ht="12.45" customHeight="1">
      <c r="A24" s="150" t="s">
        <v>179</v>
      </c>
      <c r="B24" s="105">
        <v>149000</v>
      </c>
      <c r="C24" s="9">
        <v>179000</v>
      </c>
      <c r="D24" s="9">
        <v>177000</v>
      </c>
      <c r="E24" s="9">
        <v>178000</v>
      </c>
      <c r="F24" s="9">
        <v>189000</v>
      </c>
      <c r="G24" s="9">
        <v>229000</v>
      </c>
      <c r="H24" s="9">
        <v>240000</v>
      </c>
    </row>
    <row r="25" spans="1:8" ht="12.45" customHeight="1">
      <c r="A25" s="140" t="s">
        <v>180</v>
      </c>
      <c r="B25" s="105">
        <v>14000</v>
      </c>
      <c r="C25" s="9">
        <v>11000</v>
      </c>
      <c r="D25" s="9">
        <v>10000</v>
      </c>
      <c r="E25" s="9">
        <v>9000</v>
      </c>
      <c r="F25" s="9">
        <v>12000</v>
      </c>
      <c r="G25" s="9">
        <v>15000</v>
      </c>
      <c r="H25" s="9">
        <v>14000</v>
      </c>
    </row>
    <row r="26" spans="1:8" ht="12.45" customHeight="1">
      <c r="A26" s="140" t="s">
        <v>181</v>
      </c>
      <c r="B26" s="105">
        <v>133000</v>
      </c>
      <c r="C26" s="9">
        <v>162000</v>
      </c>
      <c r="D26" s="9">
        <v>162000</v>
      </c>
      <c r="E26" s="9">
        <v>166000</v>
      </c>
      <c r="F26" s="9">
        <v>173000</v>
      </c>
      <c r="G26" s="9">
        <v>209000</v>
      </c>
      <c r="H26" s="9">
        <v>221000</v>
      </c>
    </row>
    <row r="27" spans="1:8" ht="12.45" customHeight="1">
      <c r="A27" s="140" t="s">
        <v>182</v>
      </c>
      <c r="B27" s="105">
        <v>2000</v>
      </c>
      <c r="C27" s="9">
        <v>6000</v>
      </c>
      <c r="D27" s="9">
        <v>5000</v>
      </c>
      <c r="E27" s="9">
        <v>3000</v>
      </c>
      <c r="F27" s="9">
        <v>4000</v>
      </c>
      <c r="G27" s="9">
        <v>5000</v>
      </c>
      <c r="H27" s="9">
        <v>5000</v>
      </c>
    </row>
    <row r="28" spans="1:8" ht="12.45" customHeight="1">
      <c r="A28" s="139" t="s">
        <v>183</v>
      </c>
      <c r="B28" s="105">
        <v>51000</v>
      </c>
      <c r="C28" s="9">
        <v>63000</v>
      </c>
      <c r="D28" s="9">
        <v>63000</v>
      </c>
      <c r="E28" s="9">
        <v>68000</v>
      </c>
      <c r="F28" s="9">
        <v>76000</v>
      </c>
      <c r="G28" s="9">
        <v>94000</v>
      </c>
      <c r="H28" s="9">
        <v>98000</v>
      </c>
    </row>
    <row r="29" spans="1:8" ht="12.45" customHeight="1">
      <c r="A29" s="140" t="s">
        <v>184</v>
      </c>
      <c r="B29" s="105">
        <v>15000</v>
      </c>
      <c r="C29" s="9">
        <v>24000</v>
      </c>
      <c r="D29" s="9">
        <v>28000</v>
      </c>
      <c r="E29" s="9">
        <v>30000</v>
      </c>
      <c r="F29" s="9">
        <v>39000</v>
      </c>
      <c r="G29" s="9">
        <v>50000</v>
      </c>
      <c r="H29" s="9">
        <v>51000</v>
      </c>
    </row>
    <row r="30" spans="1:8" ht="12.45" customHeight="1">
      <c r="A30" s="140" t="s">
        <v>185</v>
      </c>
      <c r="B30" s="105">
        <v>36000</v>
      </c>
      <c r="C30" s="9">
        <v>38000</v>
      </c>
      <c r="D30" s="9">
        <v>35000</v>
      </c>
      <c r="E30" s="9">
        <v>38000</v>
      </c>
      <c r="F30" s="9">
        <v>37000</v>
      </c>
      <c r="G30" s="9">
        <v>45000</v>
      </c>
      <c r="H30" s="9">
        <v>47000</v>
      </c>
    </row>
    <row r="31" spans="1:8" ht="12.45" customHeight="1">
      <c r="A31" s="139" t="s">
        <v>186</v>
      </c>
      <c r="B31" s="105">
        <v>111000</v>
      </c>
      <c r="C31" s="9">
        <v>128000</v>
      </c>
      <c r="D31" s="9">
        <v>128000</v>
      </c>
      <c r="E31" s="9">
        <v>136000</v>
      </c>
      <c r="F31" s="9">
        <v>121000</v>
      </c>
      <c r="G31" s="9">
        <v>140000</v>
      </c>
      <c r="H31" s="9">
        <v>155000</v>
      </c>
    </row>
    <row r="32" spans="1:8" ht="12.45" customHeight="1">
      <c r="A32" s="140" t="s">
        <v>187</v>
      </c>
      <c r="B32" s="105">
        <v>53000</v>
      </c>
      <c r="C32" s="9">
        <v>57000</v>
      </c>
      <c r="D32" s="9">
        <v>59000</v>
      </c>
      <c r="E32" s="9">
        <v>61000</v>
      </c>
      <c r="F32" s="9">
        <v>51000</v>
      </c>
      <c r="G32" s="9">
        <v>62000</v>
      </c>
      <c r="H32" s="9">
        <v>68000</v>
      </c>
    </row>
    <row r="33" spans="1:8" ht="12.45" customHeight="1">
      <c r="A33" s="140" t="s">
        <v>188</v>
      </c>
      <c r="B33" s="105">
        <v>16000</v>
      </c>
      <c r="C33" s="9">
        <v>22000</v>
      </c>
      <c r="D33" s="9">
        <v>21000</v>
      </c>
      <c r="E33" s="9">
        <v>20000</v>
      </c>
      <c r="F33" s="9">
        <v>16000</v>
      </c>
      <c r="G33" s="9">
        <v>20000</v>
      </c>
      <c r="H33" s="9">
        <v>27000</v>
      </c>
    </row>
    <row r="34" spans="1:8" ht="12.45" customHeight="1">
      <c r="A34" s="140" t="s">
        <v>189</v>
      </c>
      <c r="B34" s="105">
        <v>40000</v>
      </c>
      <c r="C34" s="9">
        <v>48000</v>
      </c>
      <c r="D34" s="9">
        <v>47000</v>
      </c>
      <c r="E34" s="9">
        <v>54000</v>
      </c>
      <c r="F34" s="9">
        <v>52000</v>
      </c>
      <c r="G34" s="9">
        <v>58000</v>
      </c>
      <c r="H34" s="9">
        <v>59000</v>
      </c>
    </row>
    <row r="35" spans="1:8" ht="12.45" customHeight="1">
      <c r="A35" s="140" t="s">
        <v>190</v>
      </c>
      <c r="B35" s="105">
        <v>2000</v>
      </c>
      <c r="C35" s="13" t="s">
        <v>191</v>
      </c>
      <c r="D35" s="13" t="s">
        <v>191</v>
      </c>
      <c r="E35" s="13" t="s">
        <v>220</v>
      </c>
      <c r="F35" s="13" t="s">
        <v>191</v>
      </c>
      <c r="G35" s="13" t="s">
        <v>222</v>
      </c>
      <c r="H35" s="9">
        <v>1000</v>
      </c>
    </row>
    <row r="36" spans="1:8" ht="12.45" customHeight="1">
      <c r="A36" s="139" t="s">
        <v>192</v>
      </c>
      <c r="B36" s="105">
        <v>144000</v>
      </c>
      <c r="C36" s="9">
        <v>154000</v>
      </c>
      <c r="D36" s="9">
        <v>164000</v>
      </c>
      <c r="E36" s="9">
        <v>162000</v>
      </c>
      <c r="F36" s="9">
        <v>174000</v>
      </c>
      <c r="G36" s="9">
        <v>207000</v>
      </c>
      <c r="H36" s="9">
        <v>196000</v>
      </c>
    </row>
    <row r="37" spans="1:8" ht="12.45" customHeight="1">
      <c r="A37" s="140" t="s">
        <v>193</v>
      </c>
      <c r="B37" s="105">
        <v>17000</v>
      </c>
      <c r="C37" s="9">
        <v>26000</v>
      </c>
      <c r="D37" s="9">
        <v>22000</v>
      </c>
      <c r="E37" s="9">
        <v>21000</v>
      </c>
      <c r="F37" s="9">
        <v>25000</v>
      </c>
      <c r="G37" s="9">
        <v>25000</v>
      </c>
      <c r="H37" s="9">
        <v>26000</v>
      </c>
    </row>
    <row r="38" spans="1:8" ht="12.45" customHeight="1">
      <c r="A38" s="140" t="s">
        <v>194</v>
      </c>
      <c r="B38" s="105">
        <v>10000</v>
      </c>
      <c r="C38" s="9">
        <v>15000</v>
      </c>
      <c r="D38" s="9">
        <v>16000</v>
      </c>
      <c r="E38" s="9">
        <v>16000</v>
      </c>
      <c r="F38" s="9">
        <v>17000</v>
      </c>
      <c r="G38" s="9">
        <v>25000</v>
      </c>
      <c r="H38" s="9">
        <v>16000</v>
      </c>
    </row>
    <row r="39" spans="1:8" ht="12.45" customHeight="1">
      <c r="A39" s="140" t="s">
        <v>195</v>
      </c>
      <c r="B39" s="105">
        <v>94000</v>
      </c>
      <c r="C39" s="9">
        <v>90000</v>
      </c>
      <c r="D39" s="9">
        <v>93000</v>
      </c>
      <c r="E39" s="9">
        <v>96000</v>
      </c>
      <c r="F39" s="9">
        <v>95000</v>
      </c>
      <c r="G39" s="9">
        <v>106000</v>
      </c>
      <c r="H39" s="9">
        <v>105000</v>
      </c>
    </row>
    <row r="40" spans="1:8" ht="12.45" customHeight="1">
      <c r="A40" s="140" t="s">
        <v>196</v>
      </c>
      <c r="B40" s="105">
        <v>17000</v>
      </c>
      <c r="C40" s="9">
        <v>20000</v>
      </c>
      <c r="D40" s="9">
        <v>24000</v>
      </c>
      <c r="E40" s="9">
        <v>21000</v>
      </c>
      <c r="F40" s="9">
        <v>26000</v>
      </c>
      <c r="G40" s="9">
        <v>39000</v>
      </c>
      <c r="H40" s="9">
        <v>36000</v>
      </c>
    </row>
    <row r="41" spans="1:8" ht="12.45" customHeight="1">
      <c r="A41" s="140" t="s">
        <v>197</v>
      </c>
      <c r="B41" s="105">
        <v>6000</v>
      </c>
      <c r="C41" s="9">
        <v>3000</v>
      </c>
      <c r="D41" s="9">
        <v>9000</v>
      </c>
      <c r="E41" s="9">
        <v>8000</v>
      </c>
      <c r="F41" s="9">
        <v>11000</v>
      </c>
      <c r="G41" s="9">
        <v>12000</v>
      </c>
      <c r="H41" s="9">
        <v>14000</v>
      </c>
    </row>
    <row r="42" spans="1:8" ht="12.45" customHeight="1">
      <c r="A42" s="139" t="s">
        <v>198</v>
      </c>
      <c r="B42" s="105">
        <v>101000</v>
      </c>
      <c r="C42" s="9">
        <v>100000</v>
      </c>
      <c r="D42" s="9">
        <v>118000</v>
      </c>
      <c r="E42" s="9">
        <v>119000</v>
      </c>
      <c r="F42" s="9">
        <v>142000</v>
      </c>
      <c r="G42" s="9">
        <v>171000</v>
      </c>
      <c r="H42" s="9">
        <v>171000</v>
      </c>
    </row>
    <row r="43" spans="1:8" ht="12.45" customHeight="1">
      <c r="A43" s="141" t="s">
        <v>199</v>
      </c>
      <c r="B43" s="105">
        <v>5000</v>
      </c>
      <c r="C43" s="9">
        <v>5000</v>
      </c>
      <c r="D43" s="9">
        <v>4000</v>
      </c>
      <c r="E43" s="9">
        <v>5000</v>
      </c>
      <c r="F43" s="9">
        <v>4000</v>
      </c>
      <c r="G43" s="9">
        <v>8000</v>
      </c>
      <c r="H43" s="9">
        <v>7000</v>
      </c>
    </row>
    <row r="44" spans="1:8" ht="12.45" customHeight="1">
      <c r="A44" s="140" t="s">
        <v>200</v>
      </c>
      <c r="B44" s="105">
        <v>12000</v>
      </c>
      <c r="C44" s="9">
        <v>13000</v>
      </c>
      <c r="D44" s="9">
        <v>12000</v>
      </c>
      <c r="E44" s="9">
        <v>13000</v>
      </c>
      <c r="F44" s="9">
        <v>13000</v>
      </c>
      <c r="G44" s="9">
        <v>23000</v>
      </c>
      <c r="H44" s="9">
        <v>17000</v>
      </c>
    </row>
    <row r="45" spans="1:8" ht="12.45" customHeight="1">
      <c r="A45" s="140" t="s">
        <v>201</v>
      </c>
      <c r="B45" s="105">
        <v>10000</v>
      </c>
      <c r="C45" s="9">
        <v>8000</v>
      </c>
      <c r="D45" s="9">
        <v>11000</v>
      </c>
      <c r="E45" s="9">
        <v>9000</v>
      </c>
      <c r="F45" s="9">
        <v>13000</v>
      </c>
      <c r="G45" s="9">
        <v>16000</v>
      </c>
      <c r="H45" s="9">
        <v>17000</v>
      </c>
    </row>
    <row r="46" spans="1:8" ht="12.45" customHeight="1">
      <c r="A46" s="140" t="s">
        <v>202</v>
      </c>
      <c r="B46" s="105">
        <v>33000</v>
      </c>
      <c r="C46" s="9">
        <v>33000</v>
      </c>
      <c r="D46" s="9">
        <v>40000</v>
      </c>
      <c r="E46" s="9">
        <v>36000</v>
      </c>
      <c r="F46" s="9">
        <v>46000</v>
      </c>
      <c r="G46" s="9">
        <v>53000</v>
      </c>
      <c r="H46" s="9">
        <v>54000</v>
      </c>
    </row>
    <row r="47" spans="1:8" ht="12.45" customHeight="1">
      <c r="A47" s="140" t="s">
        <v>203</v>
      </c>
      <c r="B47" s="105">
        <v>2000</v>
      </c>
      <c r="C47" s="9">
        <v>3000</v>
      </c>
      <c r="D47" s="9">
        <v>2000</v>
      </c>
      <c r="E47" s="9">
        <v>6000</v>
      </c>
      <c r="F47" s="9">
        <v>4000</v>
      </c>
      <c r="G47" s="9">
        <v>6000</v>
      </c>
      <c r="H47" s="9">
        <v>5000</v>
      </c>
    </row>
    <row r="48" spans="1:8" ht="12.45" customHeight="1">
      <c r="A48" s="140" t="s">
        <v>204</v>
      </c>
      <c r="B48" s="105">
        <v>14000</v>
      </c>
      <c r="C48" s="9">
        <v>13000</v>
      </c>
      <c r="D48" s="9">
        <v>20000</v>
      </c>
      <c r="E48" s="9">
        <v>20000</v>
      </c>
      <c r="F48" s="9">
        <v>24000</v>
      </c>
      <c r="G48" s="9">
        <v>23000</v>
      </c>
      <c r="H48" s="9">
        <v>21000</v>
      </c>
    </row>
    <row r="49" spans="1:8" ht="12.45" customHeight="1">
      <c r="A49" s="140" t="s">
        <v>205</v>
      </c>
      <c r="B49" s="105">
        <v>25000</v>
      </c>
      <c r="C49" s="9">
        <v>26000</v>
      </c>
      <c r="D49" s="9">
        <v>29000</v>
      </c>
      <c r="E49" s="9">
        <v>29000</v>
      </c>
      <c r="F49" s="9">
        <v>39000</v>
      </c>
      <c r="G49" s="9">
        <v>43000</v>
      </c>
      <c r="H49" s="9">
        <v>51000</v>
      </c>
    </row>
    <row r="50" spans="1:8" ht="12.45" customHeight="1">
      <c r="A50" s="138" t="s">
        <v>206</v>
      </c>
      <c r="B50" s="105">
        <v>22000</v>
      </c>
      <c r="C50" s="9">
        <v>31000</v>
      </c>
      <c r="D50" s="9">
        <v>32000</v>
      </c>
      <c r="E50" s="9">
        <v>42000</v>
      </c>
      <c r="F50" s="9">
        <v>42000</v>
      </c>
      <c r="G50" s="9">
        <v>44000</v>
      </c>
      <c r="H50" s="9">
        <v>51000</v>
      </c>
    </row>
    <row r="51" spans="1:8" ht="12.45" customHeight="1">
      <c r="A51" s="139" t="s">
        <v>207</v>
      </c>
      <c r="B51" s="105">
        <v>17000</v>
      </c>
      <c r="C51" s="9">
        <v>23000</v>
      </c>
      <c r="D51" s="9">
        <v>24000</v>
      </c>
      <c r="E51" s="9">
        <v>31000</v>
      </c>
      <c r="F51" s="9">
        <v>31000</v>
      </c>
      <c r="G51" s="9">
        <v>33000</v>
      </c>
      <c r="H51" s="9">
        <v>40000</v>
      </c>
    </row>
    <row r="52" spans="1:8" ht="12.45" customHeight="1">
      <c r="A52" s="139" t="s">
        <v>208</v>
      </c>
      <c r="B52" s="105">
        <v>3000</v>
      </c>
      <c r="C52" s="9">
        <v>3000</v>
      </c>
      <c r="D52" s="9">
        <v>4000</v>
      </c>
      <c r="E52" s="9">
        <v>3000</v>
      </c>
      <c r="F52" s="9">
        <v>5000</v>
      </c>
      <c r="G52" s="9">
        <v>5000</v>
      </c>
      <c r="H52" s="9">
        <v>5000</v>
      </c>
    </row>
    <row r="53" spans="1:8" ht="12.45" customHeight="1">
      <c r="A53" s="139" t="s">
        <v>209</v>
      </c>
      <c r="B53" s="105">
        <v>2000</v>
      </c>
      <c r="C53" s="9">
        <v>4000</v>
      </c>
      <c r="D53" s="9">
        <v>3000</v>
      </c>
      <c r="E53" s="9">
        <v>7000</v>
      </c>
      <c r="F53" s="9">
        <v>5000</v>
      </c>
      <c r="G53" s="9">
        <v>5000</v>
      </c>
      <c r="H53" s="9">
        <v>5000</v>
      </c>
    </row>
    <row r="54" spans="1:8" ht="12.45" customHeight="1">
      <c r="A54" s="139" t="s">
        <v>210</v>
      </c>
      <c r="B54" s="105">
        <v>1000</v>
      </c>
      <c r="C54" s="9">
        <v>1000</v>
      </c>
      <c r="D54" s="9">
        <v>2000</v>
      </c>
      <c r="E54" s="13" t="s">
        <v>191</v>
      </c>
      <c r="F54" s="9">
        <v>2000</v>
      </c>
      <c r="G54" s="9">
        <v>1000</v>
      </c>
      <c r="H54" s="9">
        <v>2000</v>
      </c>
    </row>
  </sheetData>
  <mergeCells count="1">
    <mergeCell ref="A1:I1"/>
  </mergeCell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I16"/>
  <sheetViews>
    <sheetView workbookViewId="0">
      <selection activeCell="A3" sqref="A3:I15"/>
    </sheetView>
  </sheetViews>
  <sheetFormatPr defaultRowHeight="13.2"/>
  <cols>
    <col min="1" max="1" width="53.77734375" customWidth="1"/>
    <col min="2" max="2" width="10.109375" customWidth="1"/>
    <col min="3" max="7" width="10" customWidth="1"/>
    <col min="8" max="8" width="10.109375" customWidth="1"/>
    <col min="9" max="9" width="4" customWidth="1"/>
  </cols>
  <sheetData>
    <row r="1" spans="1:9" ht="42.75" customHeight="1">
      <c r="A1" s="420" t="s">
        <v>637</v>
      </c>
      <c r="B1" s="420"/>
      <c r="C1" s="420"/>
      <c r="D1" s="420"/>
      <c r="E1" s="420"/>
      <c r="F1" s="420"/>
      <c r="G1" s="420"/>
      <c r="H1" s="420"/>
      <c r="I1" s="420"/>
    </row>
    <row r="2" spans="1:9" ht="14.7" customHeight="1">
      <c r="A2" s="101" t="s">
        <v>166</v>
      </c>
      <c r="B2" s="86">
        <v>2003</v>
      </c>
      <c r="C2" s="86">
        <v>2010</v>
      </c>
      <c r="D2" s="86">
        <v>2013</v>
      </c>
      <c r="E2" s="86">
        <v>2015</v>
      </c>
      <c r="F2" s="86">
        <v>2017</v>
      </c>
      <c r="G2" s="86">
        <v>2019</v>
      </c>
      <c r="H2" s="86">
        <v>2021</v>
      </c>
    </row>
    <row r="3" spans="1:9" ht="12.45" customHeight="1">
      <c r="A3" s="138" t="s">
        <v>211</v>
      </c>
      <c r="B3" s="107">
        <v>27000</v>
      </c>
      <c r="C3" s="7">
        <v>36000</v>
      </c>
      <c r="D3" s="7">
        <v>42000</v>
      </c>
      <c r="E3" s="7">
        <v>45000</v>
      </c>
      <c r="F3" s="7">
        <v>41000</v>
      </c>
      <c r="G3" s="7">
        <v>53000</v>
      </c>
      <c r="H3" s="7">
        <v>50000</v>
      </c>
    </row>
    <row r="4" spans="1:9" ht="12.45" customHeight="1">
      <c r="A4" s="139" t="s">
        <v>212</v>
      </c>
      <c r="B4" s="105">
        <v>3000</v>
      </c>
      <c r="C4" s="9">
        <v>3000</v>
      </c>
      <c r="D4" s="9">
        <v>3000</v>
      </c>
      <c r="E4" s="13" t="s">
        <v>191</v>
      </c>
      <c r="F4" s="9">
        <v>4000</v>
      </c>
      <c r="G4" s="9">
        <v>9000</v>
      </c>
      <c r="H4" s="9">
        <v>6000</v>
      </c>
    </row>
    <row r="5" spans="1:9" ht="12.45" customHeight="1">
      <c r="A5" s="139" t="s">
        <v>213</v>
      </c>
      <c r="B5" s="105">
        <v>12000</v>
      </c>
      <c r="C5" s="9">
        <v>8000</v>
      </c>
      <c r="D5" s="9">
        <v>7000</v>
      </c>
      <c r="E5" s="9">
        <v>6000</v>
      </c>
      <c r="F5" s="9">
        <v>5000</v>
      </c>
      <c r="G5" s="9">
        <v>8000</v>
      </c>
      <c r="H5" s="9">
        <v>9000</v>
      </c>
    </row>
    <row r="6" spans="1:9" ht="12.45" customHeight="1">
      <c r="A6" s="139" t="s">
        <v>214</v>
      </c>
      <c r="B6" s="105">
        <v>3000</v>
      </c>
      <c r="C6" s="9">
        <v>8000</v>
      </c>
      <c r="D6" s="9">
        <v>14000</v>
      </c>
      <c r="E6" s="9">
        <v>13000</v>
      </c>
      <c r="F6" s="9">
        <v>9000</v>
      </c>
      <c r="G6" s="9">
        <v>15000</v>
      </c>
      <c r="H6" s="9">
        <v>13000</v>
      </c>
    </row>
    <row r="7" spans="1:9" ht="12.45" customHeight="1">
      <c r="A7" s="139" t="s">
        <v>215</v>
      </c>
      <c r="B7" s="162" t="s">
        <v>220</v>
      </c>
      <c r="C7" s="13" t="s">
        <v>220</v>
      </c>
      <c r="D7" s="13" t="s">
        <v>220</v>
      </c>
      <c r="E7" s="13" t="s">
        <v>220</v>
      </c>
      <c r="F7" s="13" t="s">
        <v>220</v>
      </c>
      <c r="G7" s="13" t="s">
        <v>220</v>
      </c>
      <c r="H7" s="13" t="s">
        <v>220</v>
      </c>
    </row>
    <row r="8" spans="1:9" ht="12.45" customHeight="1">
      <c r="A8" s="139" t="s">
        <v>216</v>
      </c>
      <c r="B8" s="105">
        <v>3000</v>
      </c>
      <c r="C8" s="13" t="s">
        <v>191</v>
      </c>
      <c r="D8" s="9">
        <v>4000</v>
      </c>
      <c r="E8" s="9">
        <v>5000</v>
      </c>
      <c r="F8" s="9">
        <v>4000</v>
      </c>
      <c r="G8" s="9">
        <v>5000</v>
      </c>
      <c r="H8" s="9">
        <v>5000</v>
      </c>
    </row>
    <row r="9" spans="1:9" ht="12.45" customHeight="1">
      <c r="A9" s="139" t="s">
        <v>217</v>
      </c>
      <c r="B9" s="105">
        <v>6000</v>
      </c>
      <c r="C9" s="9">
        <v>10000</v>
      </c>
      <c r="D9" s="9">
        <v>14000</v>
      </c>
      <c r="E9" s="9">
        <v>15000</v>
      </c>
      <c r="F9" s="9">
        <v>19000</v>
      </c>
      <c r="G9" s="9">
        <v>16000</v>
      </c>
      <c r="H9" s="9">
        <v>18000</v>
      </c>
    </row>
    <row r="10" spans="1:9" ht="12.45" customHeight="1">
      <c r="A10" s="111" t="s">
        <v>223</v>
      </c>
      <c r="B10" s="109">
        <v>49000</v>
      </c>
      <c r="C10" s="104">
        <v>58000</v>
      </c>
      <c r="D10" s="104">
        <v>64000</v>
      </c>
      <c r="E10" s="104">
        <v>63000</v>
      </c>
      <c r="F10" s="104">
        <v>67000</v>
      </c>
      <c r="G10" s="104">
        <v>67000</v>
      </c>
      <c r="H10" s="104">
        <v>82000</v>
      </c>
    </row>
    <row r="11" spans="1:9" ht="12.45" customHeight="1">
      <c r="A11" s="112" t="s">
        <v>178</v>
      </c>
      <c r="B11" s="105">
        <v>13000</v>
      </c>
      <c r="C11" s="9">
        <v>16000</v>
      </c>
      <c r="D11" s="9">
        <v>27000</v>
      </c>
      <c r="E11" s="9">
        <v>22000</v>
      </c>
      <c r="F11" s="9">
        <v>24000</v>
      </c>
      <c r="G11" s="9">
        <v>28000</v>
      </c>
      <c r="H11" s="9">
        <v>28000</v>
      </c>
    </row>
    <row r="12" spans="1:9" ht="12.45" customHeight="1">
      <c r="A12" s="112" t="s">
        <v>206</v>
      </c>
      <c r="B12" s="105">
        <v>20000</v>
      </c>
      <c r="C12" s="9">
        <v>20000</v>
      </c>
      <c r="D12" s="9">
        <v>22000</v>
      </c>
      <c r="E12" s="9">
        <v>16000</v>
      </c>
      <c r="F12" s="9">
        <v>20000</v>
      </c>
      <c r="G12" s="9">
        <v>18000</v>
      </c>
      <c r="H12" s="9">
        <v>29000</v>
      </c>
    </row>
    <row r="13" spans="1:9" ht="12.45" customHeight="1">
      <c r="A13" s="112" t="s">
        <v>211</v>
      </c>
      <c r="B13" s="110">
        <v>15000</v>
      </c>
      <c r="C13" s="21">
        <v>22000</v>
      </c>
      <c r="D13" s="21">
        <v>15000</v>
      </c>
      <c r="E13" s="21">
        <v>24000</v>
      </c>
      <c r="F13" s="21">
        <v>24000</v>
      </c>
      <c r="G13" s="21">
        <v>21000</v>
      </c>
      <c r="H13" s="21">
        <v>25000</v>
      </c>
    </row>
    <row r="14" spans="1:9" ht="21.45" customHeight="1">
      <c r="A14" s="421" t="s">
        <v>224</v>
      </c>
      <c r="B14" s="421"/>
      <c r="C14" s="421"/>
      <c r="D14" s="421"/>
      <c r="E14" s="421"/>
      <c r="F14" s="421"/>
      <c r="G14" s="421"/>
      <c r="H14" s="421"/>
      <c r="I14" s="421"/>
    </row>
    <row r="15" spans="1:9" ht="80.7" customHeight="1">
      <c r="A15" s="420" t="s">
        <v>638</v>
      </c>
      <c r="B15" s="420"/>
      <c r="C15" s="420"/>
      <c r="D15" s="420"/>
      <c r="E15" s="420"/>
      <c r="F15" s="420"/>
      <c r="G15" s="420"/>
      <c r="H15" s="420"/>
      <c r="I15" s="420"/>
    </row>
    <row r="16" spans="1:9" ht="1.95" customHeight="1"/>
  </sheetData>
  <mergeCells count="3">
    <mergeCell ref="A1:I1"/>
    <mergeCell ref="A14:I14"/>
    <mergeCell ref="A15:I15"/>
  </mergeCells>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6" t="s">
        <v>641</v>
      </c>
      <c r="B4" s="7">
        <v>32574000</v>
      </c>
      <c r="C4" s="7">
        <v>40623000</v>
      </c>
      <c r="D4" s="7">
        <v>43839000</v>
      </c>
      <c r="E4" s="7">
        <v>45941000</v>
      </c>
      <c r="F4" s="7">
        <v>48223000</v>
      </c>
      <c r="G4" s="7">
        <v>50524000</v>
      </c>
      <c r="H4" s="7">
        <v>51764000</v>
      </c>
    </row>
    <row r="5" spans="1:9" ht="12.45" customHeight="1">
      <c r="A5" s="8" t="s">
        <v>174</v>
      </c>
      <c r="B5" s="9">
        <v>4588000</v>
      </c>
      <c r="C5" s="9">
        <v>5374000</v>
      </c>
      <c r="D5" s="9">
        <v>5766000</v>
      </c>
      <c r="E5" s="9">
        <v>6407000</v>
      </c>
      <c r="F5" s="9">
        <v>6769000</v>
      </c>
      <c r="G5" s="9">
        <v>7466000</v>
      </c>
      <c r="H5" s="9">
        <v>7894000</v>
      </c>
    </row>
    <row r="6" spans="1:9" ht="12.45" customHeight="1">
      <c r="A6" s="10" t="s">
        <v>227</v>
      </c>
      <c r="B6" s="9">
        <v>421000</v>
      </c>
      <c r="C6" s="9">
        <v>602000</v>
      </c>
      <c r="D6" s="9">
        <v>638000</v>
      </c>
      <c r="E6" s="9">
        <v>631000</v>
      </c>
      <c r="F6" s="9">
        <v>610000</v>
      </c>
      <c r="G6" s="9">
        <v>698000</v>
      </c>
      <c r="H6" s="9">
        <v>794000</v>
      </c>
    </row>
    <row r="7" spans="1:9" ht="12.45" customHeight="1">
      <c r="A7" s="10" t="s">
        <v>228</v>
      </c>
      <c r="B7" s="9">
        <v>1930000</v>
      </c>
      <c r="C7" s="9">
        <v>2396000</v>
      </c>
      <c r="D7" s="9">
        <v>2653000</v>
      </c>
      <c r="E7" s="9">
        <v>3156000</v>
      </c>
      <c r="F7" s="9">
        <v>3419000</v>
      </c>
      <c r="G7" s="9">
        <v>3774000</v>
      </c>
      <c r="H7" s="9">
        <v>4031000</v>
      </c>
    </row>
    <row r="8" spans="1:9" ht="12.45" customHeight="1">
      <c r="A8" s="10" t="s">
        <v>229</v>
      </c>
      <c r="B8" s="9">
        <v>298000</v>
      </c>
      <c r="C8" s="9">
        <v>327000</v>
      </c>
      <c r="D8" s="9">
        <v>324000</v>
      </c>
      <c r="E8" s="9">
        <v>331000</v>
      </c>
      <c r="F8" s="9">
        <v>366000</v>
      </c>
      <c r="G8" s="9">
        <v>409000</v>
      </c>
      <c r="H8" s="9">
        <v>408000</v>
      </c>
    </row>
    <row r="9" spans="1:9" ht="12.45" customHeight="1">
      <c r="A9" s="10" t="s">
        <v>230</v>
      </c>
      <c r="B9" s="9">
        <v>477000</v>
      </c>
      <c r="C9" s="9">
        <v>518000</v>
      </c>
      <c r="D9" s="9">
        <v>596000</v>
      </c>
      <c r="E9" s="9">
        <v>570000</v>
      </c>
      <c r="F9" s="9">
        <v>646000</v>
      </c>
      <c r="G9" s="9">
        <v>663000</v>
      </c>
      <c r="H9" s="9">
        <v>712000</v>
      </c>
    </row>
    <row r="10" spans="1:9" ht="12.45" customHeight="1">
      <c r="A10" s="10" t="s">
        <v>231</v>
      </c>
      <c r="B10" s="9">
        <v>1463000</v>
      </c>
      <c r="C10" s="9">
        <v>1531000</v>
      </c>
      <c r="D10" s="9">
        <v>1554000</v>
      </c>
      <c r="E10" s="9">
        <v>1719000</v>
      </c>
      <c r="F10" s="9">
        <v>1728000</v>
      </c>
      <c r="G10" s="9">
        <v>1921000</v>
      </c>
      <c r="H10" s="9">
        <v>1949000</v>
      </c>
    </row>
    <row r="11" spans="1:9" ht="12.45" customHeight="1">
      <c r="A11" s="8" t="s">
        <v>175</v>
      </c>
      <c r="B11" s="9">
        <v>5155000</v>
      </c>
      <c r="C11" s="9">
        <v>6966000</v>
      </c>
      <c r="D11" s="9">
        <v>7508000</v>
      </c>
      <c r="E11" s="9">
        <v>7867000</v>
      </c>
      <c r="F11" s="9">
        <v>8271000</v>
      </c>
      <c r="G11" s="9">
        <v>8893000</v>
      </c>
      <c r="H11" s="9">
        <v>9522000</v>
      </c>
    </row>
    <row r="12" spans="1:9" ht="12.45" customHeight="1">
      <c r="A12" s="8" t="s">
        <v>176</v>
      </c>
      <c r="B12" s="9">
        <v>22831000</v>
      </c>
      <c r="C12" s="9">
        <v>28282000</v>
      </c>
      <c r="D12" s="9">
        <v>30566000</v>
      </c>
      <c r="E12" s="9">
        <v>31667000</v>
      </c>
      <c r="F12" s="9">
        <v>33183000</v>
      </c>
      <c r="G12" s="9">
        <v>34165000</v>
      </c>
      <c r="H12" s="9">
        <v>34349000</v>
      </c>
    </row>
    <row r="13" spans="1:9" ht="12.45" customHeight="1">
      <c r="A13" s="8" t="s">
        <v>265</v>
      </c>
      <c r="B13" s="9">
        <v>1710000</v>
      </c>
      <c r="C13" s="9">
        <v>2898000</v>
      </c>
      <c r="D13" s="9">
        <v>3394000</v>
      </c>
      <c r="E13" s="9">
        <v>3786000</v>
      </c>
      <c r="F13" s="9">
        <v>4280000</v>
      </c>
      <c r="G13" s="9">
        <v>4803000</v>
      </c>
      <c r="H13" s="9">
        <v>5307000</v>
      </c>
    </row>
    <row r="14" spans="1:9" ht="12.45" customHeight="1">
      <c r="A14" s="10" t="s">
        <v>174</v>
      </c>
      <c r="B14" s="9">
        <v>199000</v>
      </c>
      <c r="C14" s="9">
        <v>274000</v>
      </c>
      <c r="D14" s="9">
        <v>357000</v>
      </c>
      <c r="E14" s="9">
        <v>387000</v>
      </c>
      <c r="F14" s="9">
        <v>505000</v>
      </c>
      <c r="G14" s="9">
        <v>564000</v>
      </c>
      <c r="H14" s="9">
        <v>692000</v>
      </c>
    </row>
    <row r="15" spans="1:9" ht="12.45" customHeight="1">
      <c r="A15" s="39" t="s">
        <v>227</v>
      </c>
      <c r="B15" s="9">
        <v>19000</v>
      </c>
      <c r="C15" s="9">
        <v>28000</v>
      </c>
      <c r="D15" s="9">
        <v>42000</v>
      </c>
      <c r="E15" s="9">
        <v>37000</v>
      </c>
      <c r="F15" s="9">
        <v>38000</v>
      </c>
      <c r="G15" s="9">
        <v>64000</v>
      </c>
      <c r="H15" s="9">
        <v>72000</v>
      </c>
    </row>
    <row r="16" spans="1:9" ht="12.45" customHeight="1">
      <c r="A16" s="12" t="s">
        <v>228</v>
      </c>
      <c r="B16" s="9">
        <v>72000</v>
      </c>
      <c r="C16" s="9">
        <v>106000</v>
      </c>
      <c r="D16" s="9">
        <v>146000</v>
      </c>
      <c r="E16" s="9">
        <v>159000</v>
      </c>
      <c r="F16" s="9">
        <v>200000</v>
      </c>
      <c r="G16" s="9">
        <v>238000</v>
      </c>
      <c r="H16" s="9">
        <v>328000</v>
      </c>
    </row>
    <row r="17" spans="1:8" ht="12.45" customHeight="1">
      <c r="A17" s="12" t="s">
        <v>229</v>
      </c>
      <c r="B17" s="9">
        <v>12000</v>
      </c>
      <c r="C17" s="9">
        <v>13000</v>
      </c>
      <c r="D17" s="9">
        <v>17000</v>
      </c>
      <c r="E17" s="9">
        <v>17000</v>
      </c>
      <c r="F17" s="9">
        <v>29000</v>
      </c>
      <c r="G17" s="9">
        <v>27000</v>
      </c>
      <c r="H17" s="9">
        <v>32000</v>
      </c>
    </row>
    <row r="18" spans="1:8" ht="12.45" customHeight="1">
      <c r="A18" s="12" t="s">
        <v>230</v>
      </c>
      <c r="B18" s="9">
        <v>21000</v>
      </c>
      <c r="C18" s="9">
        <v>30000</v>
      </c>
      <c r="D18" s="9">
        <v>48000</v>
      </c>
      <c r="E18" s="9">
        <v>55000</v>
      </c>
      <c r="F18" s="9">
        <v>95000</v>
      </c>
      <c r="G18" s="9">
        <v>77000</v>
      </c>
      <c r="H18" s="9">
        <v>81000</v>
      </c>
    </row>
    <row r="19" spans="1:8" ht="12.45" customHeight="1">
      <c r="A19" s="12" t="s">
        <v>231</v>
      </c>
      <c r="B19" s="9">
        <v>75000</v>
      </c>
      <c r="C19" s="9">
        <v>98000</v>
      </c>
      <c r="D19" s="9">
        <v>103000</v>
      </c>
      <c r="E19" s="9">
        <v>120000</v>
      </c>
      <c r="F19" s="9">
        <v>143000</v>
      </c>
      <c r="G19" s="9">
        <v>159000</v>
      </c>
      <c r="H19" s="9">
        <v>178000</v>
      </c>
    </row>
    <row r="20" spans="1:8" ht="12.45" customHeight="1">
      <c r="A20" s="10" t="s">
        <v>175</v>
      </c>
      <c r="B20" s="9">
        <v>265000</v>
      </c>
      <c r="C20" s="9">
        <v>434000</v>
      </c>
      <c r="D20" s="9">
        <v>572000</v>
      </c>
      <c r="E20" s="9">
        <v>629000</v>
      </c>
      <c r="F20" s="9">
        <v>702000</v>
      </c>
      <c r="G20" s="9">
        <v>821000</v>
      </c>
      <c r="H20" s="9">
        <v>843000</v>
      </c>
    </row>
    <row r="21" spans="1:8" ht="12.45" customHeight="1">
      <c r="A21" s="10" t="s">
        <v>176</v>
      </c>
      <c r="B21" s="9">
        <v>1245000</v>
      </c>
      <c r="C21" s="9">
        <v>2190000</v>
      </c>
      <c r="D21" s="9">
        <v>2465000</v>
      </c>
      <c r="E21" s="9">
        <v>2769000</v>
      </c>
      <c r="F21" s="9">
        <v>3073000</v>
      </c>
      <c r="G21" s="9">
        <v>3418000</v>
      </c>
      <c r="H21" s="9">
        <v>3772000</v>
      </c>
    </row>
    <row r="22" spans="1:8" ht="12.45" customHeight="1">
      <c r="A22" s="8" t="s">
        <v>270</v>
      </c>
      <c r="B22" s="9">
        <v>131000</v>
      </c>
      <c r="C22" s="9">
        <v>118000</v>
      </c>
      <c r="D22" s="9">
        <v>130000</v>
      </c>
      <c r="E22" s="9">
        <v>117000</v>
      </c>
      <c r="F22" s="9">
        <v>121000</v>
      </c>
      <c r="G22" s="9">
        <v>182000</v>
      </c>
      <c r="H22" s="9">
        <v>126000</v>
      </c>
    </row>
    <row r="23" spans="1:8" ht="12.45" customHeight="1">
      <c r="A23" s="10" t="s">
        <v>174</v>
      </c>
      <c r="B23" s="9">
        <v>14000</v>
      </c>
      <c r="C23" s="9">
        <v>11000</v>
      </c>
      <c r="D23" s="9">
        <v>10000</v>
      </c>
      <c r="E23" s="9">
        <v>10000</v>
      </c>
      <c r="F23" s="9">
        <v>14000</v>
      </c>
      <c r="G23" s="13" t="s">
        <v>191</v>
      </c>
      <c r="H23" s="9">
        <v>10000</v>
      </c>
    </row>
    <row r="24" spans="1:8" ht="12.45" customHeight="1">
      <c r="A24" s="39" t="s">
        <v>227</v>
      </c>
      <c r="B24" s="9">
        <v>3000</v>
      </c>
      <c r="C24" s="9">
        <v>1000</v>
      </c>
      <c r="D24" s="9">
        <v>1000</v>
      </c>
      <c r="E24" s="9">
        <v>2000</v>
      </c>
      <c r="F24" s="13" t="s">
        <v>191</v>
      </c>
      <c r="G24" s="9">
        <v>1000</v>
      </c>
      <c r="H24" s="9">
        <v>2000</v>
      </c>
    </row>
    <row r="25" spans="1:8" ht="12.45" customHeight="1">
      <c r="A25" s="12" t="s">
        <v>228</v>
      </c>
      <c r="B25" s="9">
        <v>3000</v>
      </c>
      <c r="C25" s="9">
        <v>2000</v>
      </c>
      <c r="D25" s="9">
        <v>2000</v>
      </c>
      <c r="E25" s="9">
        <v>2000</v>
      </c>
      <c r="F25" s="9">
        <v>4000</v>
      </c>
      <c r="G25" s="13" t="s">
        <v>191</v>
      </c>
      <c r="H25" s="9">
        <v>5000</v>
      </c>
    </row>
    <row r="26" spans="1:8" ht="12.45" customHeight="1">
      <c r="A26" s="12" t="s">
        <v>229</v>
      </c>
      <c r="B26" s="9">
        <v>1000</v>
      </c>
      <c r="C26" s="9">
        <v>1000</v>
      </c>
      <c r="D26" s="13" t="s">
        <v>222</v>
      </c>
      <c r="E26" s="9">
        <v>1000</v>
      </c>
      <c r="F26" s="13" t="s">
        <v>191</v>
      </c>
      <c r="G26" s="9">
        <v>1000</v>
      </c>
      <c r="H26" s="9">
        <v>1000</v>
      </c>
    </row>
    <row r="27" spans="1:8" ht="12.45" customHeight="1">
      <c r="A27" s="12" t="s">
        <v>230</v>
      </c>
      <c r="B27" s="9">
        <v>2000</v>
      </c>
      <c r="C27" s="13" t="s">
        <v>191</v>
      </c>
      <c r="D27" s="9">
        <v>3000</v>
      </c>
      <c r="E27" s="9">
        <v>2000</v>
      </c>
      <c r="F27" s="13" t="s">
        <v>191</v>
      </c>
      <c r="G27" s="13" t="s">
        <v>191</v>
      </c>
      <c r="H27" s="9">
        <v>1000</v>
      </c>
    </row>
    <row r="28" spans="1:8" ht="12.45" customHeight="1">
      <c r="A28" s="12" t="s">
        <v>231</v>
      </c>
      <c r="B28" s="9">
        <v>4000</v>
      </c>
      <c r="C28" s="9">
        <v>6000</v>
      </c>
      <c r="D28" s="9">
        <v>3000</v>
      </c>
      <c r="E28" s="9">
        <v>4000</v>
      </c>
      <c r="F28" s="9">
        <v>5000</v>
      </c>
      <c r="G28" s="9">
        <v>5000</v>
      </c>
      <c r="H28" s="9">
        <v>2000</v>
      </c>
    </row>
    <row r="29" spans="1:8" ht="12.45" customHeight="1">
      <c r="A29" s="10" t="s">
        <v>175</v>
      </c>
      <c r="B29" s="9">
        <v>20000</v>
      </c>
      <c r="C29" s="9">
        <v>21000</v>
      </c>
      <c r="D29" s="9">
        <v>32000</v>
      </c>
      <c r="E29" s="9">
        <v>27000</v>
      </c>
      <c r="F29" s="9">
        <v>28000</v>
      </c>
      <c r="G29" s="9">
        <v>29000</v>
      </c>
      <c r="H29" s="9">
        <v>22000</v>
      </c>
    </row>
    <row r="30" spans="1:8" ht="12.45" customHeight="1">
      <c r="A30" s="10" t="s">
        <v>176</v>
      </c>
      <c r="B30" s="9">
        <v>98000</v>
      </c>
      <c r="C30" s="9">
        <v>85000</v>
      </c>
      <c r="D30" s="9">
        <v>87000</v>
      </c>
      <c r="E30" s="9">
        <v>80000</v>
      </c>
      <c r="F30" s="9">
        <v>80000</v>
      </c>
      <c r="G30" s="9">
        <v>132000</v>
      </c>
      <c r="H30" s="9">
        <v>94000</v>
      </c>
    </row>
    <row r="31" spans="1:8" ht="12.45" customHeight="1">
      <c r="A31" s="8" t="s">
        <v>271</v>
      </c>
      <c r="B31" s="9">
        <v>2222000</v>
      </c>
      <c r="C31" s="9">
        <v>3211000</v>
      </c>
      <c r="D31" s="9">
        <v>3671000</v>
      </c>
      <c r="E31" s="9">
        <v>4001000</v>
      </c>
      <c r="F31" s="9">
        <v>4498000</v>
      </c>
      <c r="G31" s="9">
        <v>5062000</v>
      </c>
      <c r="H31" s="9">
        <v>5475000</v>
      </c>
    </row>
    <row r="32" spans="1:8" ht="12.45" customHeight="1">
      <c r="A32" s="10" t="s">
        <v>174</v>
      </c>
      <c r="B32" s="9">
        <v>624000</v>
      </c>
      <c r="C32" s="9">
        <v>968000</v>
      </c>
      <c r="D32" s="9">
        <v>996000</v>
      </c>
      <c r="E32" s="9">
        <v>1321000</v>
      </c>
      <c r="F32" s="9">
        <v>1338000</v>
      </c>
      <c r="G32" s="9">
        <v>1543000</v>
      </c>
      <c r="H32" s="9">
        <v>1665000</v>
      </c>
    </row>
    <row r="33" spans="1:8" ht="12.45" customHeight="1">
      <c r="A33" s="39" t="s">
        <v>227</v>
      </c>
      <c r="B33" s="9">
        <v>60000</v>
      </c>
      <c r="C33" s="9">
        <v>112000</v>
      </c>
      <c r="D33" s="9">
        <v>117000</v>
      </c>
      <c r="E33" s="9">
        <v>114000</v>
      </c>
      <c r="F33" s="9">
        <v>126000</v>
      </c>
      <c r="G33" s="9">
        <v>157000</v>
      </c>
      <c r="H33" s="9">
        <v>167000</v>
      </c>
    </row>
    <row r="34" spans="1:8" ht="12.45" customHeight="1">
      <c r="A34" s="12" t="s">
        <v>228</v>
      </c>
      <c r="B34" s="9">
        <v>331000</v>
      </c>
      <c r="C34" s="9">
        <v>536000</v>
      </c>
      <c r="D34" s="9">
        <v>572000</v>
      </c>
      <c r="E34" s="9">
        <v>813000</v>
      </c>
      <c r="F34" s="9">
        <v>840000</v>
      </c>
      <c r="G34" s="9">
        <v>955000</v>
      </c>
      <c r="H34" s="9">
        <v>1064000</v>
      </c>
    </row>
    <row r="35" spans="1:8" ht="12.45" customHeight="1">
      <c r="A35" s="12" t="s">
        <v>229</v>
      </c>
      <c r="B35" s="9">
        <v>36000</v>
      </c>
      <c r="C35" s="9">
        <v>41000</v>
      </c>
      <c r="D35" s="9">
        <v>49000</v>
      </c>
      <c r="E35" s="9">
        <v>64000</v>
      </c>
      <c r="F35" s="9">
        <v>51000</v>
      </c>
      <c r="G35" s="9">
        <v>55000</v>
      </c>
      <c r="H35" s="9">
        <v>61000</v>
      </c>
    </row>
    <row r="36" spans="1:8" ht="12.45" customHeight="1">
      <c r="A36" s="12" t="s">
        <v>230</v>
      </c>
      <c r="B36" s="9">
        <v>24000</v>
      </c>
      <c r="C36" s="9">
        <v>29000</v>
      </c>
      <c r="D36" s="9">
        <v>41000</v>
      </c>
      <c r="E36" s="9">
        <v>51000</v>
      </c>
      <c r="F36" s="9">
        <v>38000</v>
      </c>
      <c r="G36" s="9">
        <v>44000</v>
      </c>
      <c r="H36" s="9">
        <v>57000</v>
      </c>
    </row>
    <row r="37" spans="1:8" ht="12.45" customHeight="1">
      <c r="A37" s="12" t="s">
        <v>231</v>
      </c>
      <c r="B37" s="9">
        <v>173000</v>
      </c>
      <c r="C37" s="9">
        <v>251000</v>
      </c>
      <c r="D37" s="9">
        <v>217000</v>
      </c>
      <c r="E37" s="9">
        <v>279000</v>
      </c>
      <c r="F37" s="9">
        <v>283000</v>
      </c>
      <c r="G37" s="9">
        <v>331000</v>
      </c>
      <c r="H37" s="9">
        <v>316000</v>
      </c>
    </row>
    <row r="38" spans="1:8" ht="12.45" customHeight="1">
      <c r="A38" s="10" t="s">
        <v>175</v>
      </c>
      <c r="B38" s="9">
        <v>478000</v>
      </c>
      <c r="C38" s="9">
        <v>796000</v>
      </c>
      <c r="D38" s="9">
        <v>910000</v>
      </c>
      <c r="E38" s="9">
        <v>871000</v>
      </c>
      <c r="F38" s="9">
        <v>1042000</v>
      </c>
      <c r="G38" s="9">
        <v>1151000</v>
      </c>
      <c r="H38" s="9">
        <v>1264000</v>
      </c>
    </row>
    <row r="39" spans="1:8" ht="12.45" customHeight="1">
      <c r="A39" s="10" t="s">
        <v>176</v>
      </c>
      <c r="B39" s="9">
        <v>1120000</v>
      </c>
      <c r="C39" s="9">
        <v>1447000</v>
      </c>
      <c r="D39" s="9">
        <v>1766000</v>
      </c>
      <c r="E39" s="9">
        <v>1809000</v>
      </c>
      <c r="F39" s="9">
        <v>2118000</v>
      </c>
      <c r="G39" s="9">
        <v>2368000</v>
      </c>
      <c r="H39" s="9">
        <v>2546000</v>
      </c>
    </row>
    <row r="40" spans="1:8" ht="12.45" customHeight="1">
      <c r="A40" s="8" t="s">
        <v>272</v>
      </c>
      <c r="B40" s="9">
        <v>2054000</v>
      </c>
      <c r="C40" s="9">
        <v>2747000</v>
      </c>
      <c r="D40" s="9">
        <v>3141000</v>
      </c>
      <c r="E40" s="9">
        <v>3434000</v>
      </c>
      <c r="F40" s="9">
        <v>3805000</v>
      </c>
      <c r="G40" s="9">
        <v>3895000</v>
      </c>
      <c r="H40" s="9">
        <v>4109000</v>
      </c>
    </row>
    <row r="41" spans="1:8" ht="12.45" customHeight="1">
      <c r="A41" s="10" t="s">
        <v>174</v>
      </c>
      <c r="B41" s="9">
        <v>200000</v>
      </c>
      <c r="C41" s="9">
        <v>251000</v>
      </c>
      <c r="D41" s="9">
        <v>275000</v>
      </c>
      <c r="E41" s="9">
        <v>308000</v>
      </c>
      <c r="F41" s="9">
        <v>382000</v>
      </c>
      <c r="G41" s="9">
        <v>379000</v>
      </c>
      <c r="H41" s="9">
        <v>399000</v>
      </c>
    </row>
    <row r="42" spans="1:8" ht="12.45" customHeight="1">
      <c r="A42" s="39" t="s">
        <v>227</v>
      </c>
      <c r="B42" s="9">
        <v>12000</v>
      </c>
      <c r="C42" s="9">
        <v>20000</v>
      </c>
      <c r="D42" s="9">
        <v>19000</v>
      </c>
      <c r="E42" s="9">
        <v>16000</v>
      </c>
      <c r="F42" s="9">
        <v>20000</v>
      </c>
      <c r="G42" s="9">
        <v>23000</v>
      </c>
      <c r="H42" s="9">
        <v>32000</v>
      </c>
    </row>
    <row r="43" spans="1:8" ht="12.45" customHeight="1">
      <c r="A43" s="12" t="s">
        <v>228</v>
      </c>
      <c r="B43" s="9">
        <v>102000</v>
      </c>
      <c r="C43" s="9">
        <v>141000</v>
      </c>
      <c r="D43" s="9">
        <v>162000</v>
      </c>
      <c r="E43" s="9">
        <v>162000</v>
      </c>
      <c r="F43" s="9">
        <v>242000</v>
      </c>
      <c r="G43" s="9">
        <v>214000</v>
      </c>
      <c r="H43" s="9">
        <v>242000</v>
      </c>
    </row>
    <row r="44" spans="1:8" ht="12.45" customHeight="1">
      <c r="A44" s="12" t="s">
        <v>229</v>
      </c>
      <c r="B44" s="9">
        <v>8000</v>
      </c>
      <c r="C44" s="9">
        <v>11000</v>
      </c>
      <c r="D44" s="9">
        <v>12000</v>
      </c>
      <c r="E44" s="9">
        <v>13000</v>
      </c>
      <c r="F44" s="9">
        <v>11000</v>
      </c>
      <c r="G44" s="9">
        <v>18000</v>
      </c>
      <c r="H44" s="9">
        <v>16000</v>
      </c>
    </row>
    <row r="45" spans="1:8" ht="12.45" customHeight="1">
      <c r="A45" s="12" t="s">
        <v>230</v>
      </c>
      <c r="B45" s="9">
        <v>27000</v>
      </c>
      <c r="C45" s="9">
        <v>24000</v>
      </c>
      <c r="D45" s="9">
        <v>25000</v>
      </c>
      <c r="E45" s="9">
        <v>42000</v>
      </c>
      <c r="F45" s="9">
        <v>48000</v>
      </c>
      <c r="G45" s="9">
        <v>47000</v>
      </c>
      <c r="H45" s="9">
        <v>44000</v>
      </c>
    </row>
    <row r="46" spans="1:8" ht="12.45" customHeight="1">
      <c r="A46" s="12" t="s">
        <v>231</v>
      </c>
      <c r="B46" s="9">
        <v>50000</v>
      </c>
      <c r="C46" s="9">
        <v>54000</v>
      </c>
      <c r="D46" s="9">
        <v>57000</v>
      </c>
      <c r="E46" s="9">
        <v>74000</v>
      </c>
      <c r="F46" s="9">
        <v>62000</v>
      </c>
      <c r="G46" s="9">
        <v>77000</v>
      </c>
      <c r="H46" s="9">
        <v>65000</v>
      </c>
    </row>
    <row r="47" spans="1:8" ht="12.45" customHeight="1">
      <c r="A47" s="10" t="s">
        <v>175</v>
      </c>
      <c r="B47" s="9">
        <v>285000</v>
      </c>
      <c r="C47" s="9">
        <v>401000</v>
      </c>
      <c r="D47" s="9">
        <v>462000</v>
      </c>
      <c r="E47" s="9">
        <v>515000</v>
      </c>
      <c r="F47" s="9">
        <v>610000</v>
      </c>
      <c r="G47" s="9">
        <v>613000</v>
      </c>
      <c r="H47" s="9">
        <v>756000</v>
      </c>
    </row>
    <row r="48" spans="1:8" ht="12.45" customHeight="1">
      <c r="A48" s="10" t="s">
        <v>176</v>
      </c>
      <c r="B48" s="9">
        <v>1569000</v>
      </c>
      <c r="C48" s="9">
        <v>2095000</v>
      </c>
      <c r="D48" s="9">
        <v>2404000</v>
      </c>
      <c r="E48" s="9">
        <v>2612000</v>
      </c>
      <c r="F48" s="9">
        <v>2813000</v>
      </c>
      <c r="G48" s="9">
        <v>2903000</v>
      </c>
      <c r="H48" s="9">
        <v>2955000</v>
      </c>
    </row>
    <row r="49" spans="1:8" ht="12.45" customHeight="1">
      <c r="A49" s="8" t="s">
        <v>273</v>
      </c>
      <c r="B49" s="9">
        <v>90000</v>
      </c>
      <c r="C49" s="9">
        <v>119000</v>
      </c>
      <c r="D49" s="9">
        <v>133000</v>
      </c>
      <c r="E49" s="9">
        <v>182000</v>
      </c>
      <c r="F49" s="9">
        <v>137000</v>
      </c>
      <c r="G49" s="9">
        <v>129000</v>
      </c>
      <c r="H49" s="9">
        <v>136000</v>
      </c>
    </row>
    <row r="50" spans="1:8" ht="12.45" customHeight="1">
      <c r="A50" s="10" t="s">
        <v>174</v>
      </c>
      <c r="B50" s="9">
        <v>13000</v>
      </c>
      <c r="C50" s="9">
        <v>12000</v>
      </c>
      <c r="D50" s="9">
        <v>12000</v>
      </c>
      <c r="E50" s="9">
        <v>12000</v>
      </c>
      <c r="F50" s="9">
        <v>23000</v>
      </c>
      <c r="G50" s="9">
        <v>17000</v>
      </c>
      <c r="H50" s="9">
        <v>16000</v>
      </c>
    </row>
    <row r="51" spans="1:8" ht="12.45" customHeight="1">
      <c r="A51" s="39" t="s">
        <v>227</v>
      </c>
      <c r="B51" s="9">
        <v>1000</v>
      </c>
      <c r="C51" s="13" t="s">
        <v>191</v>
      </c>
      <c r="D51" s="9">
        <v>2000</v>
      </c>
      <c r="E51" s="9">
        <v>1000</v>
      </c>
      <c r="F51" s="9">
        <v>1000</v>
      </c>
      <c r="G51" s="13" t="s">
        <v>220</v>
      </c>
      <c r="H51" s="9">
        <v>1000</v>
      </c>
    </row>
    <row r="52" spans="1:8" ht="12.45" customHeight="1">
      <c r="A52" s="12" t="s">
        <v>228</v>
      </c>
      <c r="B52" s="9">
        <v>7000</v>
      </c>
      <c r="C52" s="9">
        <v>2000</v>
      </c>
      <c r="D52" s="9">
        <v>5000</v>
      </c>
      <c r="E52" s="9">
        <v>6000</v>
      </c>
      <c r="F52" s="9">
        <v>12000</v>
      </c>
      <c r="G52" s="9">
        <v>6000</v>
      </c>
      <c r="H52" s="9">
        <v>6000</v>
      </c>
    </row>
    <row r="53" spans="1:8" ht="12.45" customHeight="1">
      <c r="A53" s="12" t="s">
        <v>229</v>
      </c>
      <c r="B53" s="13" t="s">
        <v>220</v>
      </c>
      <c r="C53" s="13" t="s">
        <v>222</v>
      </c>
      <c r="D53" s="13" t="s">
        <v>222</v>
      </c>
      <c r="E53" s="13" t="s">
        <v>220</v>
      </c>
      <c r="F53" s="13" t="s">
        <v>191</v>
      </c>
      <c r="G53" s="13" t="s">
        <v>191</v>
      </c>
      <c r="H53" s="13" t="s">
        <v>191</v>
      </c>
    </row>
    <row r="54" spans="1:8" ht="12.45" customHeight="1">
      <c r="A54" s="12" t="s">
        <v>230</v>
      </c>
      <c r="B54" s="13" t="s">
        <v>220</v>
      </c>
      <c r="C54" s="13" t="s">
        <v>191</v>
      </c>
      <c r="D54" s="9">
        <v>1000</v>
      </c>
      <c r="E54" s="13" t="s">
        <v>191</v>
      </c>
      <c r="F54" s="13" t="s">
        <v>191</v>
      </c>
      <c r="G54" s="9">
        <v>2000</v>
      </c>
      <c r="H54" s="13" t="s">
        <v>191</v>
      </c>
    </row>
  </sheetData>
  <mergeCells count="1">
    <mergeCell ref="A1:I1"/>
  </mergeCell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18" t="s">
        <v>231</v>
      </c>
      <c r="B4" s="7">
        <v>5000</v>
      </c>
      <c r="C4" s="7">
        <v>5000</v>
      </c>
      <c r="D4" s="7">
        <v>4000</v>
      </c>
      <c r="E4" s="7">
        <v>4000</v>
      </c>
      <c r="F4" s="7">
        <v>8000</v>
      </c>
      <c r="G4" s="7">
        <v>7000</v>
      </c>
      <c r="H4" s="7">
        <v>7000</v>
      </c>
    </row>
    <row r="5" spans="1:9" ht="12.45" customHeight="1">
      <c r="A5" s="10" t="s">
        <v>175</v>
      </c>
      <c r="B5" s="9">
        <v>21000</v>
      </c>
      <c r="C5" s="9">
        <v>28000</v>
      </c>
      <c r="D5" s="9">
        <v>24000</v>
      </c>
      <c r="E5" s="9">
        <v>21000</v>
      </c>
      <c r="F5" s="9">
        <v>16000</v>
      </c>
      <c r="G5" s="9">
        <v>30000</v>
      </c>
      <c r="H5" s="9">
        <v>36000</v>
      </c>
    </row>
    <row r="6" spans="1:9" ht="12.45" customHeight="1">
      <c r="A6" s="10" t="s">
        <v>176</v>
      </c>
      <c r="B6" s="9">
        <v>56000</v>
      </c>
      <c r="C6" s="9">
        <v>79000</v>
      </c>
      <c r="D6" s="9">
        <v>97000</v>
      </c>
      <c r="E6" s="9">
        <v>149000</v>
      </c>
      <c r="F6" s="9">
        <v>97000</v>
      </c>
      <c r="G6" s="9">
        <v>82000</v>
      </c>
      <c r="H6" s="9">
        <v>83000</v>
      </c>
    </row>
    <row r="7" spans="1:9" ht="12.45" customHeight="1">
      <c r="A7" s="8" t="s">
        <v>274</v>
      </c>
      <c r="B7" s="9">
        <v>25973000</v>
      </c>
      <c r="C7" s="9">
        <v>30946000</v>
      </c>
      <c r="D7" s="9">
        <v>32698000</v>
      </c>
      <c r="E7" s="9">
        <v>33495000</v>
      </c>
      <c r="F7" s="9">
        <v>34435000</v>
      </c>
      <c r="G7" s="9">
        <v>35269000</v>
      </c>
      <c r="H7" s="9">
        <v>35373000</v>
      </c>
    </row>
    <row r="8" spans="1:9" ht="12.45" customHeight="1">
      <c r="A8" s="10" t="s">
        <v>174</v>
      </c>
      <c r="B8" s="9">
        <v>3479000</v>
      </c>
      <c r="C8" s="9">
        <v>3789000</v>
      </c>
      <c r="D8" s="9">
        <v>4033000</v>
      </c>
      <c r="E8" s="9">
        <v>4267000</v>
      </c>
      <c r="F8" s="9">
        <v>4397000</v>
      </c>
      <c r="G8" s="9">
        <v>4784000</v>
      </c>
      <c r="H8" s="9">
        <v>4943000</v>
      </c>
    </row>
    <row r="9" spans="1:9" ht="12.45" customHeight="1">
      <c r="A9" s="12" t="s">
        <v>227</v>
      </c>
      <c r="B9" s="9">
        <v>321000</v>
      </c>
      <c r="C9" s="9">
        <v>428000</v>
      </c>
      <c r="D9" s="9">
        <v>449000</v>
      </c>
      <c r="E9" s="9">
        <v>449000</v>
      </c>
      <c r="F9" s="9">
        <v>415000</v>
      </c>
      <c r="G9" s="9">
        <v>439000</v>
      </c>
      <c r="H9" s="9">
        <v>501000</v>
      </c>
    </row>
    <row r="10" spans="1:9" ht="12.45" customHeight="1">
      <c r="A10" s="12" t="s">
        <v>228</v>
      </c>
      <c r="B10" s="9">
        <v>1390000</v>
      </c>
      <c r="C10" s="9">
        <v>1575000</v>
      </c>
      <c r="D10" s="9">
        <v>1726000</v>
      </c>
      <c r="E10" s="9">
        <v>1965000</v>
      </c>
      <c r="F10" s="9">
        <v>2070000</v>
      </c>
      <c r="G10" s="9">
        <v>2259000</v>
      </c>
      <c r="H10" s="9">
        <v>2296000</v>
      </c>
    </row>
    <row r="11" spans="1:9" ht="12.45" customHeight="1">
      <c r="A11" s="12" t="s">
        <v>229</v>
      </c>
      <c r="B11" s="9">
        <v>237000</v>
      </c>
      <c r="C11" s="9">
        <v>257000</v>
      </c>
      <c r="D11" s="9">
        <v>242000</v>
      </c>
      <c r="E11" s="9">
        <v>233000</v>
      </c>
      <c r="F11" s="9">
        <v>265000</v>
      </c>
      <c r="G11" s="9">
        <v>300000</v>
      </c>
      <c r="H11" s="9">
        <v>288000</v>
      </c>
    </row>
    <row r="12" spans="1:9" ht="12.45" customHeight="1">
      <c r="A12" s="12" t="s">
        <v>230</v>
      </c>
      <c r="B12" s="9">
        <v>394000</v>
      </c>
      <c r="C12" s="9">
        <v>427000</v>
      </c>
      <c r="D12" s="9">
        <v>467000</v>
      </c>
      <c r="E12" s="9">
        <v>407000</v>
      </c>
      <c r="F12" s="9">
        <v>451000</v>
      </c>
      <c r="G12" s="9">
        <v>480000</v>
      </c>
      <c r="H12" s="9">
        <v>513000</v>
      </c>
    </row>
    <row r="13" spans="1:9" ht="12.45" customHeight="1">
      <c r="A13" s="12" t="s">
        <v>231</v>
      </c>
      <c r="B13" s="9">
        <v>1138000</v>
      </c>
      <c r="C13" s="9">
        <v>1101000</v>
      </c>
      <c r="D13" s="9">
        <v>1149000</v>
      </c>
      <c r="E13" s="9">
        <v>1213000</v>
      </c>
      <c r="F13" s="9">
        <v>1196000</v>
      </c>
      <c r="G13" s="9">
        <v>1305000</v>
      </c>
      <c r="H13" s="9">
        <v>1345000</v>
      </c>
    </row>
    <row r="14" spans="1:9" ht="12.45" customHeight="1">
      <c r="A14" s="10" t="s">
        <v>175</v>
      </c>
      <c r="B14" s="9">
        <v>4022000</v>
      </c>
      <c r="C14" s="9">
        <v>5208000</v>
      </c>
      <c r="D14" s="9">
        <v>5380000</v>
      </c>
      <c r="E14" s="9">
        <v>5676000</v>
      </c>
      <c r="F14" s="9">
        <v>5726000</v>
      </c>
      <c r="G14" s="9">
        <v>6053000</v>
      </c>
      <c r="H14" s="9">
        <v>6412000</v>
      </c>
    </row>
    <row r="15" spans="1:9" ht="12.45" customHeight="1">
      <c r="A15" s="10" t="s">
        <v>176</v>
      </c>
      <c r="B15" s="9">
        <v>18472000</v>
      </c>
      <c r="C15" s="9">
        <v>21948000</v>
      </c>
      <c r="D15" s="9">
        <v>23285000</v>
      </c>
      <c r="E15" s="9">
        <v>23552000</v>
      </c>
      <c r="F15" s="9">
        <v>24313000</v>
      </c>
      <c r="G15" s="9">
        <v>24432000</v>
      </c>
      <c r="H15" s="9">
        <v>24018000</v>
      </c>
    </row>
    <row r="16" spans="1:9" ht="12.45" customHeight="1">
      <c r="A16" s="8" t="s">
        <v>275</v>
      </c>
      <c r="B16" s="9">
        <v>394000</v>
      </c>
      <c r="C16" s="9">
        <v>585000</v>
      </c>
      <c r="D16" s="9">
        <v>673000</v>
      </c>
      <c r="E16" s="9">
        <v>926000</v>
      </c>
      <c r="F16" s="9">
        <v>946000</v>
      </c>
      <c r="G16" s="9">
        <v>1184000</v>
      </c>
      <c r="H16" s="9">
        <v>1238000</v>
      </c>
    </row>
    <row r="17" spans="1:8" ht="12.45" customHeight="1">
      <c r="A17" s="10" t="s">
        <v>174</v>
      </c>
      <c r="B17" s="9">
        <v>60000</v>
      </c>
      <c r="C17" s="9">
        <v>69000</v>
      </c>
      <c r="D17" s="9">
        <v>84000</v>
      </c>
      <c r="E17" s="9">
        <v>103000</v>
      </c>
      <c r="F17" s="9">
        <v>109000</v>
      </c>
      <c r="G17" s="9">
        <v>158000</v>
      </c>
      <c r="H17" s="9">
        <v>169000</v>
      </c>
    </row>
    <row r="18" spans="1:8" ht="12.45" customHeight="1">
      <c r="A18" s="12" t="s">
        <v>227</v>
      </c>
      <c r="B18" s="9">
        <v>6000</v>
      </c>
      <c r="C18" s="9">
        <v>8000</v>
      </c>
      <c r="D18" s="9">
        <v>9000</v>
      </c>
      <c r="E18" s="9">
        <v>12000</v>
      </c>
      <c r="F18" s="9">
        <v>9000</v>
      </c>
      <c r="G18" s="9">
        <v>14000</v>
      </c>
      <c r="H18" s="9">
        <v>19000</v>
      </c>
    </row>
    <row r="19" spans="1:8" ht="12.45" customHeight="1">
      <c r="A19" s="12" t="s">
        <v>228</v>
      </c>
      <c r="B19" s="9">
        <v>24000</v>
      </c>
      <c r="C19" s="9">
        <v>34000</v>
      </c>
      <c r="D19" s="9">
        <v>40000</v>
      </c>
      <c r="E19" s="9">
        <v>50000</v>
      </c>
      <c r="F19" s="9">
        <v>52000</v>
      </c>
      <c r="G19" s="9">
        <v>88000</v>
      </c>
      <c r="H19" s="9">
        <v>89000</v>
      </c>
    </row>
    <row r="20" spans="1:8" ht="12.45" customHeight="1">
      <c r="A20" s="12" t="s">
        <v>229</v>
      </c>
      <c r="B20" s="9">
        <v>4000</v>
      </c>
      <c r="C20" s="9">
        <v>4000</v>
      </c>
      <c r="D20" s="9">
        <v>3000</v>
      </c>
      <c r="E20" s="9">
        <v>3000</v>
      </c>
      <c r="F20" s="9">
        <v>7000</v>
      </c>
      <c r="G20" s="9">
        <v>7000</v>
      </c>
      <c r="H20" s="9">
        <v>9000</v>
      </c>
    </row>
    <row r="21" spans="1:8" ht="12.45" customHeight="1">
      <c r="A21" s="12" t="s">
        <v>230</v>
      </c>
      <c r="B21" s="9">
        <v>8000</v>
      </c>
      <c r="C21" s="9">
        <v>7000</v>
      </c>
      <c r="D21" s="9">
        <v>11000</v>
      </c>
      <c r="E21" s="9">
        <v>11000</v>
      </c>
      <c r="F21" s="9">
        <v>10000</v>
      </c>
      <c r="G21" s="9">
        <v>12000</v>
      </c>
      <c r="H21" s="9">
        <v>16000</v>
      </c>
    </row>
    <row r="22" spans="1:8" ht="12.45" customHeight="1">
      <c r="A22" s="12" t="s">
        <v>231</v>
      </c>
      <c r="B22" s="9">
        <v>18000</v>
      </c>
      <c r="C22" s="9">
        <v>17000</v>
      </c>
      <c r="D22" s="9">
        <v>20000</v>
      </c>
      <c r="E22" s="9">
        <v>27000</v>
      </c>
      <c r="F22" s="9">
        <v>31000</v>
      </c>
      <c r="G22" s="9">
        <v>37000</v>
      </c>
      <c r="H22" s="9">
        <v>36000</v>
      </c>
    </row>
    <row r="23" spans="1:8" ht="12.45" customHeight="1">
      <c r="A23" s="10" t="s">
        <v>175</v>
      </c>
      <c r="B23" s="9">
        <v>64000</v>
      </c>
      <c r="C23" s="9">
        <v>78000</v>
      </c>
      <c r="D23" s="9">
        <v>128000</v>
      </c>
      <c r="E23" s="9">
        <v>128000</v>
      </c>
      <c r="F23" s="9">
        <v>147000</v>
      </c>
      <c r="G23" s="9">
        <v>198000</v>
      </c>
      <c r="H23" s="9">
        <v>189000</v>
      </c>
    </row>
    <row r="24" spans="1:8" ht="12.45" customHeight="1">
      <c r="A24" s="10" t="s">
        <v>176</v>
      </c>
      <c r="B24" s="9">
        <v>270000</v>
      </c>
      <c r="C24" s="9">
        <v>437000</v>
      </c>
      <c r="D24" s="9">
        <v>462000</v>
      </c>
      <c r="E24" s="9">
        <v>695000</v>
      </c>
      <c r="F24" s="9">
        <v>689000</v>
      </c>
      <c r="G24" s="9">
        <v>829000</v>
      </c>
      <c r="H24" s="9">
        <v>880000</v>
      </c>
    </row>
    <row r="25" spans="1:8" ht="12.45" customHeight="1">
      <c r="A25" s="8" t="s">
        <v>282</v>
      </c>
      <c r="B25" s="9">
        <v>15111000</v>
      </c>
      <c r="C25" s="9">
        <v>19978000</v>
      </c>
      <c r="D25" s="9">
        <v>22052000</v>
      </c>
      <c r="E25" s="9">
        <v>23218000</v>
      </c>
      <c r="F25" s="9">
        <v>24900000</v>
      </c>
      <c r="G25" s="9">
        <v>26341000</v>
      </c>
      <c r="H25" s="9">
        <v>26493000</v>
      </c>
    </row>
    <row r="26" spans="1:8" ht="12.45" customHeight="1">
      <c r="A26" s="10" t="s">
        <v>174</v>
      </c>
      <c r="B26" s="9">
        <v>1203000</v>
      </c>
      <c r="C26" s="9">
        <v>1486000</v>
      </c>
      <c r="D26" s="9">
        <v>1681000</v>
      </c>
      <c r="E26" s="9">
        <v>1818000</v>
      </c>
      <c r="F26" s="9">
        <v>1966000</v>
      </c>
      <c r="G26" s="9">
        <v>2193000</v>
      </c>
      <c r="H26" s="9">
        <v>2300000</v>
      </c>
    </row>
    <row r="27" spans="1:8" ht="12.45" customHeight="1">
      <c r="A27" s="12" t="s">
        <v>227</v>
      </c>
      <c r="B27" s="9">
        <v>164000</v>
      </c>
      <c r="C27" s="9">
        <v>292000</v>
      </c>
      <c r="D27" s="9">
        <v>311000</v>
      </c>
      <c r="E27" s="9">
        <v>302000</v>
      </c>
      <c r="F27" s="9">
        <v>292000</v>
      </c>
      <c r="G27" s="9">
        <v>337000</v>
      </c>
      <c r="H27" s="9">
        <v>367000</v>
      </c>
    </row>
    <row r="28" spans="1:8" ht="12.45" customHeight="1">
      <c r="A28" s="12" t="s">
        <v>228</v>
      </c>
      <c r="B28" s="9">
        <v>552000</v>
      </c>
      <c r="C28" s="9">
        <v>602000</v>
      </c>
      <c r="D28" s="9">
        <v>673000</v>
      </c>
      <c r="E28" s="9">
        <v>833000</v>
      </c>
      <c r="F28" s="9">
        <v>919000</v>
      </c>
      <c r="G28" s="9">
        <v>975000</v>
      </c>
      <c r="H28" s="9">
        <v>1053000</v>
      </c>
    </row>
    <row r="29" spans="1:8" ht="12.45" customHeight="1">
      <c r="A29" s="12" t="s">
        <v>229</v>
      </c>
      <c r="B29" s="9">
        <v>83000</v>
      </c>
      <c r="C29" s="9">
        <v>98000</v>
      </c>
      <c r="D29" s="9">
        <v>100000</v>
      </c>
      <c r="E29" s="9">
        <v>92000</v>
      </c>
      <c r="F29" s="9">
        <v>107000</v>
      </c>
      <c r="G29" s="9">
        <v>142000</v>
      </c>
      <c r="H29" s="9">
        <v>135000</v>
      </c>
    </row>
    <row r="30" spans="1:8" ht="12.45" customHeight="1">
      <c r="A30" s="12" t="s">
        <v>230</v>
      </c>
      <c r="B30" s="9">
        <v>251000</v>
      </c>
      <c r="C30" s="9">
        <v>295000</v>
      </c>
      <c r="D30" s="9">
        <v>363000</v>
      </c>
      <c r="E30" s="9">
        <v>341000</v>
      </c>
      <c r="F30" s="9">
        <v>379000</v>
      </c>
      <c r="G30" s="9">
        <v>428000</v>
      </c>
      <c r="H30" s="9">
        <v>433000</v>
      </c>
    </row>
    <row r="31" spans="1:8" ht="12.45" customHeight="1">
      <c r="A31" s="12" t="s">
        <v>231</v>
      </c>
      <c r="B31" s="9">
        <v>154000</v>
      </c>
      <c r="C31" s="9">
        <v>200000</v>
      </c>
      <c r="D31" s="9">
        <v>235000</v>
      </c>
      <c r="E31" s="9">
        <v>250000</v>
      </c>
      <c r="F31" s="9">
        <v>269000</v>
      </c>
      <c r="G31" s="9">
        <v>310000</v>
      </c>
      <c r="H31" s="9">
        <v>312000</v>
      </c>
    </row>
    <row r="32" spans="1:8" ht="12.45" customHeight="1">
      <c r="A32" s="10" t="s">
        <v>175</v>
      </c>
      <c r="B32" s="9">
        <v>2814000</v>
      </c>
      <c r="C32" s="9">
        <v>3877000</v>
      </c>
      <c r="D32" s="9">
        <v>4223000</v>
      </c>
      <c r="E32" s="9">
        <v>4558000</v>
      </c>
      <c r="F32" s="9">
        <v>4764000</v>
      </c>
      <c r="G32" s="9">
        <v>5109000</v>
      </c>
      <c r="H32" s="9">
        <v>5494000</v>
      </c>
    </row>
    <row r="33" spans="1:8" ht="12.45" customHeight="1">
      <c r="A33" s="10" t="s">
        <v>176</v>
      </c>
      <c r="B33" s="9">
        <v>11094000</v>
      </c>
      <c r="C33" s="9">
        <v>14615000</v>
      </c>
      <c r="D33" s="9">
        <v>16147000</v>
      </c>
      <c r="E33" s="9">
        <v>16842000</v>
      </c>
      <c r="F33" s="9">
        <v>18170000</v>
      </c>
      <c r="G33" s="9">
        <v>19040000</v>
      </c>
      <c r="H33" s="9">
        <v>18699000</v>
      </c>
    </row>
    <row r="34" spans="1:8" ht="12.45" customHeight="1">
      <c r="A34" s="10" t="s">
        <v>265</v>
      </c>
      <c r="B34" s="9">
        <v>862000</v>
      </c>
      <c r="C34" s="9">
        <v>1533000</v>
      </c>
      <c r="D34" s="9">
        <v>1827000</v>
      </c>
      <c r="E34" s="9">
        <v>2045000</v>
      </c>
      <c r="F34" s="9">
        <v>2391000</v>
      </c>
      <c r="G34" s="9">
        <v>2668000</v>
      </c>
      <c r="H34" s="9">
        <v>2907000</v>
      </c>
    </row>
    <row r="35" spans="1:8" ht="12.45" customHeight="1">
      <c r="A35" s="12" t="s">
        <v>174</v>
      </c>
      <c r="B35" s="9">
        <v>57000</v>
      </c>
      <c r="C35" s="9">
        <v>84000</v>
      </c>
      <c r="D35" s="9">
        <v>120000</v>
      </c>
      <c r="E35" s="9">
        <v>117000</v>
      </c>
      <c r="F35" s="9">
        <v>154000</v>
      </c>
      <c r="G35" s="9">
        <v>182000</v>
      </c>
      <c r="H35" s="9">
        <v>206000</v>
      </c>
    </row>
    <row r="36" spans="1:8" ht="12.45" customHeight="1">
      <c r="A36" s="13" t="s">
        <v>227</v>
      </c>
      <c r="B36" s="9">
        <v>10000</v>
      </c>
      <c r="C36" s="9">
        <v>15000</v>
      </c>
      <c r="D36" s="9">
        <v>25000</v>
      </c>
      <c r="E36" s="9">
        <v>18000</v>
      </c>
      <c r="F36" s="9">
        <v>24000</v>
      </c>
      <c r="G36" s="9">
        <v>33000</v>
      </c>
      <c r="H36" s="9">
        <v>36000</v>
      </c>
    </row>
    <row r="37" spans="1:8" ht="12.45" customHeight="1">
      <c r="A37" s="15" t="s">
        <v>228</v>
      </c>
      <c r="B37" s="9">
        <v>18000</v>
      </c>
      <c r="C37" s="9">
        <v>33000</v>
      </c>
      <c r="D37" s="9">
        <v>39000</v>
      </c>
      <c r="E37" s="9">
        <v>39000</v>
      </c>
      <c r="F37" s="9">
        <v>49000</v>
      </c>
      <c r="G37" s="9">
        <v>49000</v>
      </c>
      <c r="H37" s="9">
        <v>75000</v>
      </c>
    </row>
    <row r="38" spans="1:8" ht="12.45" customHeight="1">
      <c r="A38" s="15" t="s">
        <v>229</v>
      </c>
      <c r="B38" s="9">
        <v>4000</v>
      </c>
      <c r="C38" s="9">
        <v>6000</v>
      </c>
      <c r="D38" s="9">
        <v>7000</v>
      </c>
      <c r="E38" s="9">
        <v>6000</v>
      </c>
      <c r="F38" s="9">
        <v>10000</v>
      </c>
      <c r="G38" s="9">
        <v>11000</v>
      </c>
      <c r="H38" s="9">
        <v>11000</v>
      </c>
    </row>
    <row r="39" spans="1:8" ht="12.45" customHeight="1">
      <c r="A39" s="15" t="s">
        <v>230</v>
      </c>
      <c r="B39" s="9">
        <v>13000</v>
      </c>
      <c r="C39" s="9">
        <v>17000</v>
      </c>
      <c r="D39" s="9">
        <v>31000</v>
      </c>
      <c r="E39" s="9">
        <v>37000</v>
      </c>
      <c r="F39" s="9">
        <v>46000</v>
      </c>
      <c r="G39" s="9">
        <v>58000</v>
      </c>
      <c r="H39" s="9">
        <v>52000</v>
      </c>
    </row>
    <row r="40" spans="1:8" ht="12.45" customHeight="1">
      <c r="A40" s="15" t="s">
        <v>231</v>
      </c>
      <c r="B40" s="9">
        <v>12000</v>
      </c>
      <c r="C40" s="9">
        <v>13000</v>
      </c>
      <c r="D40" s="9">
        <v>18000</v>
      </c>
      <c r="E40" s="9">
        <v>17000</v>
      </c>
      <c r="F40" s="9">
        <v>26000</v>
      </c>
      <c r="G40" s="9">
        <v>31000</v>
      </c>
      <c r="H40" s="9">
        <v>33000</v>
      </c>
    </row>
    <row r="41" spans="1:8" ht="12.45" customHeight="1">
      <c r="A41" s="12" t="s">
        <v>175</v>
      </c>
      <c r="B41" s="9">
        <v>135000</v>
      </c>
      <c r="C41" s="9">
        <v>254000</v>
      </c>
      <c r="D41" s="9">
        <v>322000</v>
      </c>
      <c r="E41" s="9">
        <v>372000</v>
      </c>
      <c r="F41" s="9">
        <v>427000</v>
      </c>
      <c r="G41" s="9">
        <v>492000</v>
      </c>
      <c r="H41" s="9">
        <v>537000</v>
      </c>
    </row>
    <row r="42" spans="1:8" ht="12.45" customHeight="1">
      <c r="A42" s="12" t="s">
        <v>176</v>
      </c>
      <c r="B42" s="9">
        <v>670000</v>
      </c>
      <c r="C42" s="9">
        <v>1195000</v>
      </c>
      <c r="D42" s="9">
        <v>1385000</v>
      </c>
      <c r="E42" s="9">
        <v>1555000</v>
      </c>
      <c r="F42" s="9">
        <v>1809000</v>
      </c>
      <c r="G42" s="9">
        <v>1994000</v>
      </c>
      <c r="H42" s="9">
        <v>2164000</v>
      </c>
    </row>
    <row r="43" spans="1:8" ht="12.45" customHeight="1">
      <c r="A43" s="10" t="s">
        <v>270</v>
      </c>
      <c r="B43" s="9">
        <v>71000</v>
      </c>
      <c r="C43" s="9">
        <v>50000</v>
      </c>
      <c r="D43" s="9">
        <v>65000</v>
      </c>
      <c r="E43" s="9">
        <v>63000</v>
      </c>
      <c r="F43" s="9">
        <v>68000</v>
      </c>
      <c r="G43" s="9">
        <v>121000</v>
      </c>
      <c r="H43" s="9">
        <v>71000</v>
      </c>
    </row>
    <row r="44" spans="1:8" ht="12.45" customHeight="1">
      <c r="A44" s="12" t="s">
        <v>174</v>
      </c>
      <c r="B44" s="9">
        <v>4000</v>
      </c>
      <c r="C44" s="9">
        <v>3000</v>
      </c>
      <c r="D44" s="9">
        <v>3000</v>
      </c>
      <c r="E44" s="9">
        <v>1000</v>
      </c>
      <c r="F44" s="9">
        <v>5000</v>
      </c>
      <c r="G44" s="9">
        <v>4000</v>
      </c>
      <c r="H44" s="9">
        <v>3000</v>
      </c>
    </row>
    <row r="45" spans="1:8" ht="12.45" customHeight="1">
      <c r="A45" s="13" t="s">
        <v>227</v>
      </c>
      <c r="B45" s="13" t="s">
        <v>220</v>
      </c>
      <c r="C45" s="13" t="s">
        <v>220</v>
      </c>
      <c r="D45" s="13" t="s">
        <v>191</v>
      </c>
      <c r="E45" s="13" t="s">
        <v>220</v>
      </c>
      <c r="F45" s="13" t="s">
        <v>220</v>
      </c>
      <c r="G45" s="13" t="s">
        <v>222</v>
      </c>
      <c r="H45" s="13" t="s">
        <v>191</v>
      </c>
    </row>
    <row r="46" spans="1:8" ht="12.45" customHeight="1">
      <c r="A46" s="15" t="s">
        <v>228</v>
      </c>
      <c r="B46" s="9">
        <v>2000</v>
      </c>
      <c r="C46" s="13" t="s">
        <v>222</v>
      </c>
      <c r="D46" s="9">
        <v>1000</v>
      </c>
      <c r="E46" s="13" t="s">
        <v>222</v>
      </c>
      <c r="F46" s="13" t="s">
        <v>191</v>
      </c>
      <c r="G46" s="13" t="s">
        <v>191</v>
      </c>
      <c r="H46" s="13" t="s">
        <v>220</v>
      </c>
    </row>
    <row r="47" spans="1:8" ht="12.45" customHeight="1">
      <c r="A47" s="15" t="s">
        <v>229</v>
      </c>
      <c r="B47" s="9">
        <v>1000</v>
      </c>
      <c r="C47" s="13" t="s">
        <v>222</v>
      </c>
      <c r="D47" s="13" t="s">
        <v>222</v>
      </c>
      <c r="E47" s="13" t="s">
        <v>220</v>
      </c>
      <c r="F47" s="13" t="s">
        <v>220</v>
      </c>
      <c r="G47" s="13" t="s">
        <v>220</v>
      </c>
      <c r="H47" s="13" t="s">
        <v>220</v>
      </c>
    </row>
    <row r="48" spans="1:8" ht="12.45" customHeight="1">
      <c r="A48" s="15" t="s">
        <v>230</v>
      </c>
      <c r="B48" s="13" t="s">
        <v>220</v>
      </c>
      <c r="C48" s="13" t="s">
        <v>222</v>
      </c>
      <c r="D48" s="13" t="s">
        <v>191</v>
      </c>
      <c r="E48" s="13" t="s">
        <v>191</v>
      </c>
      <c r="F48" s="9">
        <v>1000</v>
      </c>
      <c r="G48" s="13" t="s">
        <v>222</v>
      </c>
      <c r="H48" s="13" t="s">
        <v>222</v>
      </c>
    </row>
    <row r="49" spans="1:8" ht="12.45" customHeight="1">
      <c r="A49" s="15" t="s">
        <v>231</v>
      </c>
      <c r="B49" s="9">
        <v>1000</v>
      </c>
      <c r="C49" s="13" t="s">
        <v>191</v>
      </c>
      <c r="D49" s="13" t="s">
        <v>222</v>
      </c>
      <c r="E49" s="13" t="s">
        <v>220</v>
      </c>
      <c r="F49" s="13" t="s">
        <v>220</v>
      </c>
      <c r="G49" s="13" t="s">
        <v>191</v>
      </c>
      <c r="H49" s="13" t="s">
        <v>220</v>
      </c>
    </row>
    <row r="50" spans="1:8" ht="12.45" customHeight="1">
      <c r="A50" s="12" t="s">
        <v>175</v>
      </c>
      <c r="B50" s="9">
        <v>12000</v>
      </c>
      <c r="C50" s="9">
        <v>13000</v>
      </c>
      <c r="D50" s="9">
        <v>22000</v>
      </c>
      <c r="E50" s="9">
        <v>18000</v>
      </c>
      <c r="F50" s="9">
        <v>16000</v>
      </c>
      <c r="G50" s="9">
        <v>15000</v>
      </c>
      <c r="H50" s="9">
        <v>17000</v>
      </c>
    </row>
    <row r="51" spans="1:8" ht="12.45" customHeight="1">
      <c r="A51" s="12" t="s">
        <v>176</v>
      </c>
      <c r="B51" s="9">
        <v>55000</v>
      </c>
      <c r="C51" s="9">
        <v>34000</v>
      </c>
      <c r="D51" s="9">
        <v>40000</v>
      </c>
      <c r="E51" s="9">
        <v>44000</v>
      </c>
      <c r="F51" s="9">
        <v>47000</v>
      </c>
      <c r="G51" s="9">
        <v>101000</v>
      </c>
      <c r="H51" s="9">
        <v>51000</v>
      </c>
    </row>
    <row r="52" spans="1:8" ht="12.45" customHeight="1">
      <c r="A52" s="10" t="s">
        <v>271</v>
      </c>
      <c r="B52" s="9">
        <v>999000</v>
      </c>
      <c r="C52" s="9">
        <v>1359000</v>
      </c>
      <c r="D52" s="9">
        <v>1687000</v>
      </c>
      <c r="E52" s="9">
        <v>1882000</v>
      </c>
      <c r="F52" s="9">
        <v>2142000</v>
      </c>
      <c r="G52" s="9">
        <v>2457000</v>
      </c>
      <c r="H52" s="9">
        <v>2682000</v>
      </c>
    </row>
    <row r="53" spans="1:8" ht="12.45" customHeight="1">
      <c r="A53" s="12" t="s">
        <v>174</v>
      </c>
      <c r="B53" s="9">
        <v>166000</v>
      </c>
      <c r="C53" s="9">
        <v>260000</v>
      </c>
      <c r="D53" s="9">
        <v>293000</v>
      </c>
      <c r="E53" s="9">
        <v>417000</v>
      </c>
      <c r="F53" s="9">
        <v>409000</v>
      </c>
      <c r="G53" s="9">
        <v>488000</v>
      </c>
      <c r="H53" s="9">
        <v>511000</v>
      </c>
    </row>
    <row r="54" spans="1:8" ht="12.45" customHeight="1">
      <c r="A54" s="13" t="s">
        <v>227</v>
      </c>
      <c r="B54" s="9">
        <v>23000</v>
      </c>
      <c r="C54" s="9">
        <v>62000</v>
      </c>
      <c r="D54" s="9">
        <v>63000</v>
      </c>
      <c r="E54" s="9">
        <v>57000</v>
      </c>
      <c r="F54" s="9">
        <v>55000</v>
      </c>
      <c r="G54" s="9">
        <v>72000</v>
      </c>
      <c r="H54" s="9">
        <v>79000</v>
      </c>
    </row>
  </sheetData>
  <mergeCells count="1">
    <mergeCell ref="A1:I1"/>
  </mergeCell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theme="0" tint="-0.249977111117893"/>
  </sheetPr>
  <dimension ref="A1:I54"/>
  <sheetViews>
    <sheetView workbookViewId="0">
      <selection sqref="A1:I1"/>
    </sheetView>
  </sheetViews>
  <sheetFormatPr defaultRowHeight="13.2"/>
  <cols>
    <col min="1" max="1" width="46.77734375" customWidth="1"/>
    <col min="2" max="3" width="11.109375" customWidth="1"/>
    <col min="4" max="4" width="10.77734375" customWidth="1"/>
    <col min="5" max="8" width="11.109375" customWidth="1"/>
    <col min="9" max="9" width="3.44140625" customWidth="1"/>
  </cols>
  <sheetData>
    <row r="1" spans="1:9" ht="39" customHeight="1">
      <c r="A1" s="420" t="s">
        <v>639</v>
      </c>
      <c r="B1" s="420"/>
      <c r="C1" s="420"/>
      <c r="D1" s="420"/>
      <c r="E1" s="420"/>
      <c r="F1" s="420"/>
      <c r="G1" s="420"/>
      <c r="H1" s="420"/>
      <c r="I1" s="420"/>
    </row>
    <row r="2" spans="1:9" ht="1.95" customHeight="1"/>
    <row r="3" spans="1:9" ht="14.7" customHeight="1">
      <c r="A3" s="54" t="s">
        <v>640</v>
      </c>
      <c r="B3" s="87">
        <v>2003</v>
      </c>
      <c r="C3" s="87">
        <v>2010</v>
      </c>
      <c r="D3" s="87">
        <v>2013</v>
      </c>
      <c r="E3" s="87">
        <v>2015</v>
      </c>
      <c r="F3" s="87">
        <v>2017</v>
      </c>
      <c r="G3" s="87">
        <v>2019</v>
      </c>
      <c r="H3" s="87">
        <v>2021</v>
      </c>
    </row>
    <row r="4" spans="1:9" ht="12.45" customHeight="1">
      <c r="A4" s="30" t="s">
        <v>228</v>
      </c>
      <c r="B4" s="7">
        <v>93000</v>
      </c>
      <c r="C4" s="7">
        <v>124000</v>
      </c>
      <c r="D4" s="7">
        <v>155000</v>
      </c>
      <c r="E4" s="7">
        <v>272000</v>
      </c>
      <c r="F4" s="7">
        <v>257000</v>
      </c>
      <c r="G4" s="7">
        <v>307000</v>
      </c>
      <c r="H4" s="7">
        <v>315000</v>
      </c>
    </row>
    <row r="5" spans="1:9" ht="12.45" customHeight="1">
      <c r="A5" s="15" t="s">
        <v>229</v>
      </c>
      <c r="B5" s="9">
        <v>13000</v>
      </c>
      <c r="C5" s="9">
        <v>13000</v>
      </c>
      <c r="D5" s="9">
        <v>16000</v>
      </c>
      <c r="E5" s="9">
        <v>16000</v>
      </c>
      <c r="F5" s="9">
        <v>16000</v>
      </c>
      <c r="G5" s="9">
        <v>15000</v>
      </c>
      <c r="H5" s="9">
        <v>19000</v>
      </c>
    </row>
    <row r="6" spans="1:9" ht="12.45" customHeight="1">
      <c r="A6" s="15" t="s">
        <v>230</v>
      </c>
      <c r="B6" s="9">
        <v>11000</v>
      </c>
      <c r="C6" s="9">
        <v>15000</v>
      </c>
      <c r="D6" s="9">
        <v>24000</v>
      </c>
      <c r="E6" s="9">
        <v>32000</v>
      </c>
      <c r="F6" s="9">
        <v>26000</v>
      </c>
      <c r="G6" s="9">
        <v>30000</v>
      </c>
      <c r="H6" s="9">
        <v>32000</v>
      </c>
    </row>
    <row r="7" spans="1:9" ht="12.45" customHeight="1">
      <c r="A7" s="15" t="s">
        <v>231</v>
      </c>
      <c r="B7" s="9">
        <v>27000</v>
      </c>
      <c r="C7" s="9">
        <v>46000</v>
      </c>
      <c r="D7" s="9">
        <v>36000</v>
      </c>
      <c r="E7" s="9">
        <v>40000</v>
      </c>
      <c r="F7" s="9">
        <v>54000</v>
      </c>
      <c r="G7" s="9">
        <v>64000</v>
      </c>
      <c r="H7" s="9">
        <v>66000</v>
      </c>
    </row>
    <row r="8" spans="1:9" ht="12.45" customHeight="1">
      <c r="A8" s="12" t="s">
        <v>175</v>
      </c>
      <c r="B8" s="9">
        <v>260000</v>
      </c>
      <c r="C8" s="9">
        <v>382000</v>
      </c>
      <c r="D8" s="9">
        <v>437000</v>
      </c>
      <c r="E8" s="9">
        <v>467000</v>
      </c>
      <c r="F8" s="9">
        <v>537000</v>
      </c>
      <c r="G8" s="9">
        <v>625000</v>
      </c>
      <c r="H8" s="9">
        <v>656000</v>
      </c>
    </row>
    <row r="9" spans="1:9" ht="12.45" customHeight="1">
      <c r="A9" s="12" t="s">
        <v>176</v>
      </c>
      <c r="B9" s="9">
        <v>572000</v>
      </c>
      <c r="C9" s="9">
        <v>718000</v>
      </c>
      <c r="D9" s="9">
        <v>957000</v>
      </c>
      <c r="E9" s="9">
        <v>998000</v>
      </c>
      <c r="F9" s="9">
        <v>1196000</v>
      </c>
      <c r="G9" s="9">
        <v>1343000</v>
      </c>
      <c r="H9" s="9">
        <v>1516000</v>
      </c>
    </row>
    <row r="10" spans="1:9" ht="12.45" customHeight="1">
      <c r="A10" s="10" t="s">
        <v>272</v>
      </c>
      <c r="B10" s="9">
        <v>1207000</v>
      </c>
      <c r="C10" s="9">
        <v>1616000</v>
      </c>
      <c r="D10" s="9">
        <v>1865000</v>
      </c>
      <c r="E10" s="9">
        <v>2077000</v>
      </c>
      <c r="F10" s="9">
        <v>2292000</v>
      </c>
      <c r="G10" s="9">
        <v>2344000</v>
      </c>
      <c r="H10" s="9">
        <v>2432000</v>
      </c>
    </row>
    <row r="11" spans="1:9" ht="12.45" customHeight="1">
      <c r="A11" s="12" t="s">
        <v>174</v>
      </c>
      <c r="B11" s="9">
        <v>80000</v>
      </c>
      <c r="C11" s="9">
        <v>108000</v>
      </c>
      <c r="D11" s="9">
        <v>110000</v>
      </c>
      <c r="E11" s="9">
        <v>104000</v>
      </c>
      <c r="F11" s="9">
        <v>168000</v>
      </c>
      <c r="G11" s="9">
        <v>135000</v>
      </c>
      <c r="H11" s="9">
        <v>144000</v>
      </c>
    </row>
    <row r="12" spans="1:9" ht="12.45" customHeight="1">
      <c r="A12" s="13" t="s">
        <v>227</v>
      </c>
      <c r="B12" s="9">
        <v>6000</v>
      </c>
      <c r="C12" s="9">
        <v>9000</v>
      </c>
      <c r="D12" s="9">
        <v>11000</v>
      </c>
      <c r="E12" s="9">
        <v>10000</v>
      </c>
      <c r="F12" s="9">
        <v>9000</v>
      </c>
      <c r="G12" s="9">
        <v>12000</v>
      </c>
      <c r="H12" s="9">
        <v>19000</v>
      </c>
    </row>
    <row r="13" spans="1:9" ht="12.45" customHeight="1">
      <c r="A13" s="15" t="s">
        <v>228</v>
      </c>
      <c r="B13" s="9">
        <v>45000</v>
      </c>
      <c r="C13" s="9">
        <v>71000</v>
      </c>
      <c r="D13" s="9">
        <v>65000</v>
      </c>
      <c r="E13" s="9">
        <v>50000</v>
      </c>
      <c r="F13" s="9">
        <v>109000</v>
      </c>
      <c r="G13" s="9">
        <v>70000</v>
      </c>
      <c r="H13" s="9">
        <v>83000</v>
      </c>
    </row>
    <row r="14" spans="1:9" ht="12.45" customHeight="1">
      <c r="A14" s="15" t="s">
        <v>229</v>
      </c>
      <c r="B14" s="9">
        <v>2000</v>
      </c>
      <c r="C14" s="9">
        <v>4000</v>
      </c>
      <c r="D14" s="9">
        <v>5000</v>
      </c>
      <c r="E14" s="9">
        <v>4000</v>
      </c>
      <c r="F14" s="9">
        <v>5000</v>
      </c>
      <c r="G14" s="9">
        <v>7000</v>
      </c>
      <c r="H14" s="9">
        <v>4000</v>
      </c>
    </row>
    <row r="15" spans="1:9" ht="12.45" customHeight="1">
      <c r="A15" s="15" t="s">
        <v>230</v>
      </c>
      <c r="B15" s="9">
        <v>17000</v>
      </c>
      <c r="C15" s="9">
        <v>14000</v>
      </c>
      <c r="D15" s="9">
        <v>18000</v>
      </c>
      <c r="E15" s="9">
        <v>24000</v>
      </c>
      <c r="F15" s="9">
        <v>34000</v>
      </c>
      <c r="G15" s="9">
        <v>33000</v>
      </c>
      <c r="H15" s="9">
        <v>28000</v>
      </c>
    </row>
    <row r="16" spans="1:9" ht="12.45" customHeight="1">
      <c r="A16" s="15" t="s">
        <v>231</v>
      </c>
      <c r="B16" s="9">
        <v>10000</v>
      </c>
      <c r="C16" s="9">
        <v>9000</v>
      </c>
      <c r="D16" s="9">
        <v>11000</v>
      </c>
      <c r="E16" s="9">
        <v>16000</v>
      </c>
      <c r="F16" s="9">
        <v>11000</v>
      </c>
      <c r="G16" s="9">
        <v>12000</v>
      </c>
      <c r="H16" s="9">
        <v>10000</v>
      </c>
    </row>
    <row r="17" spans="1:8" ht="12.45" customHeight="1">
      <c r="A17" s="12" t="s">
        <v>175</v>
      </c>
      <c r="B17" s="9">
        <v>199000</v>
      </c>
      <c r="C17" s="9">
        <v>257000</v>
      </c>
      <c r="D17" s="9">
        <v>291000</v>
      </c>
      <c r="E17" s="9">
        <v>301000</v>
      </c>
      <c r="F17" s="9">
        <v>362000</v>
      </c>
      <c r="G17" s="9">
        <v>355000</v>
      </c>
      <c r="H17" s="9">
        <v>488000</v>
      </c>
    </row>
    <row r="18" spans="1:8" ht="12.45" customHeight="1">
      <c r="A18" s="12" t="s">
        <v>176</v>
      </c>
      <c r="B18" s="9">
        <v>928000</v>
      </c>
      <c r="C18" s="9">
        <v>1251000</v>
      </c>
      <c r="D18" s="9">
        <v>1465000</v>
      </c>
      <c r="E18" s="9">
        <v>1671000</v>
      </c>
      <c r="F18" s="9">
        <v>1762000</v>
      </c>
      <c r="G18" s="9">
        <v>1854000</v>
      </c>
      <c r="H18" s="9">
        <v>1801000</v>
      </c>
    </row>
    <row r="19" spans="1:8" ht="12.45" customHeight="1">
      <c r="A19" s="10" t="s">
        <v>273</v>
      </c>
      <c r="B19" s="9">
        <v>38000</v>
      </c>
      <c r="C19" s="9">
        <v>52000</v>
      </c>
      <c r="D19" s="9">
        <v>57000</v>
      </c>
      <c r="E19" s="9">
        <v>75000</v>
      </c>
      <c r="F19" s="9">
        <v>67000</v>
      </c>
      <c r="G19" s="9">
        <v>51000</v>
      </c>
      <c r="H19" s="9">
        <v>65000</v>
      </c>
    </row>
    <row r="20" spans="1:8" ht="12.45" customHeight="1">
      <c r="A20" s="12" t="s">
        <v>174</v>
      </c>
      <c r="B20" s="9">
        <v>3000</v>
      </c>
      <c r="C20" s="9">
        <v>4000</v>
      </c>
      <c r="D20" s="9">
        <v>2000</v>
      </c>
      <c r="E20" s="9">
        <v>2000</v>
      </c>
      <c r="F20" s="9">
        <v>5000</v>
      </c>
      <c r="G20" s="9">
        <v>3000</v>
      </c>
      <c r="H20" s="9">
        <v>5000</v>
      </c>
    </row>
    <row r="21" spans="1:8" ht="12.45" customHeight="1">
      <c r="A21" s="13" t="s">
        <v>227</v>
      </c>
      <c r="B21" s="13" t="s">
        <v>220</v>
      </c>
      <c r="C21" s="13" t="s">
        <v>191</v>
      </c>
      <c r="D21" s="13" t="s">
        <v>222</v>
      </c>
      <c r="E21" s="9">
        <v>1000</v>
      </c>
      <c r="F21" s="13" t="s">
        <v>191</v>
      </c>
      <c r="G21" s="13" t="s">
        <v>220</v>
      </c>
      <c r="H21" s="13" t="s">
        <v>220</v>
      </c>
    </row>
    <row r="22" spans="1:8" ht="12.45" customHeight="1">
      <c r="A22" s="15" t="s">
        <v>228</v>
      </c>
      <c r="B22" s="9">
        <v>2000</v>
      </c>
      <c r="C22" s="13" t="s">
        <v>222</v>
      </c>
      <c r="D22" s="13" t="s">
        <v>220</v>
      </c>
      <c r="E22" s="13" t="s">
        <v>191</v>
      </c>
      <c r="F22" s="13" t="s">
        <v>191</v>
      </c>
      <c r="G22" s="13" t="s">
        <v>220</v>
      </c>
      <c r="H22" s="13" t="s">
        <v>191</v>
      </c>
    </row>
    <row r="23" spans="1:8" ht="12.45" customHeight="1">
      <c r="A23" s="15" t="s">
        <v>229</v>
      </c>
      <c r="B23" s="13" t="s">
        <v>220</v>
      </c>
      <c r="C23" s="13" t="s">
        <v>220</v>
      </c>
      <c r="D23" s="13" t="s">
        <v>220</v>
      </c>
      <c r="E23" s="13" t="s">
        <v>220</v>
      </c>
      <c r="F23" s="13" t="s">
        <v>222</v>
      </c>
      <c r="G23" s="13" t="s">
        <v>220</v>
      </c>
      <c r="H23" s="13" t="s">
        <v>220</v>
      </c>
    </row>
    <row r="24" spans="1:8" ht="12.45" customHeight="1">
      <c r="A24" s="15" t="s">
        <v>230</v>
      </c>
      <c r="B24" s="13" t="s">
        <v>220</v>
      </c>
      <c r="C24" s="13" t="s">
        <v>191</v>
      </c>
      <c r="D24" s="13" t="s">
        <v>222</v>
      </c>
      <c r="E24" s="13" t="s">
        <v>191</v>
      </c>
      <c r="F24" s="13" t="s">
        <v>191</v>
      </c>
      <c r="G24" s="13" t="s">
        <v>191</v>
      </c>
      <c r="H24" s="13" t="s">
        <v>191</v>
      </c>
    </row>
    <row r="25" spans="1:8" ht="12.45" customHeight="1">
      <c r="A25" s="15" t="s">
        <v>231</v>
      </c>
      <c r="B25" s="13" t="s">
        <v>220</v>
      </c>
      <c r="C25" s="13" t="s">
        <v>220</v>
      </c>
      <c r="D25" s="13" t="s">
        <v>222</v>
      </c>
      <c r="E25" s="13" t="s">
        <v>220</v>
      </c>
      <c r="F25" s="13" t="s">
        <v>220</v>
      </c>
      <c r="G25" s="13" t="s">
        <v>220</v>
      </c>
      <c r="H25" s="13" t="s">
        <v>220</v>
      </c>
    </row>
    <row r="26" spans="1:8" ht="12.45" customHeight="1">
      <c r="A26" s="12" t="s">
        <v>175</v>
      </c>
      <c r="B26" s="9">
        <v>12000</v>
      </c>
      <c r="C26" s="9">
        <v>11000</v>
      </c>
      <c r="D26" s="9">
        <v>12000</v>
      </c>
      <c r="E26" s="9">
        <v>14000</v>
      </c>
      <c r="F26" s="9">
        <v>9000</v>
      </c>
      <c r="G26" s="9">
        <v>9000</v>
      </c>
      <c r="H26" s="13" t="s">
        <v>191</v>
      </c>
    </row>
    <row r="27" spans="1:8" ht="12.45" customHeight="1">
      <c r="A27" s="12" t="s">
        <v>176</v>
      </c>
      <c r="B27" s="9">
        <v>23000</v>
      </c>
      <c r="C27" s="9">
        <v>37000</v>
      </c>
      <c r="D27" s="9">
        <v>43000</v>
      </c>
      <c r="E27" s="9">
        <v>59000</v>
      </c>
      <c r="F27" s="9">
        <v>52000</v>
      </c>
      <c r="G27" s="9">
        <v>40000</v>
      </c>
      <c r="H27" s="9">
        <v>42000</v>
      </c>
    </row>
    <row r="28" spans="1:8" ht="12.45" customHeight="1">
      <c r="A28" s="10" t="s">
        <v>274</v>
      </c>
      <c r="B28" s="9">
        <v>11734000</v>
      </c>
      <c r="C28" s="9">
        <v>15036000</v>
      </c>
      <c r="D28" s="9">
        <v>16169000</v>
      </c>
      <c r="E28" s="9">
        <v>16582000</v>
      </c>
      <c r="F28" s="9">
        <v>17391000</v>
      </c>
      <c r="G28" s="9">
        <v>18005000</v>
      </c>
      <c r="H28" s="9">
        <v>17710000</v>
      </c>
    </row>
    <row r="29" spans="1:8" ht="12.45" customHeight="1">
      <c r="A29" s="12" t="s">
        <v>174</v>
      </c>
      <c r="B29" s="9">
        <v>874000</v>
      </c>
      <c r="C29" s="9">
        <v>1009000</v>
      </c>
      <c r="D29" s="9">
        <v>1130000</v>
      </c>
      <c r="E29" s="9">
        <v>1144000</v>
      </c>
      <c r="F29" s="9">
        <v>1188000</v>
      </c>
      <c r="G29" s="9">
        <v>1322000</v>
      </c>
      <c r="H29" s="9">
        <v>1386000</v>
      </c>
    </row>
    <row r="30" spans="1:8" ht="12.45" customHeight="1">
      <c r="A30" s="13" t="s">
        <v>227</v>
      </c>
      <c r="B30" s="9">
        <v>122000</v>
      </c>
      <c r="C30" s="9">
        <v>200000</v>
      </c>
      <c r="D30" s="9">
        <v>207000</v>
      </c>
      <c r="E30" s="9">
        <v>209000</v>
      </c>
      <c r="F30" s="9">
        <v>196000</v>
      </c>
      <c r="G30" s="9">
        <v>212000</v>
      </c>
      <c r="H30" s="9">
        <v>223000</v>
      </c>
    </row>
    <row r="31" spans="1:8" ht="12.45" customHeight="1">
      <c r="A31" s="15" t="s">
        <v>228</v>
      </c>
      <c r="B31" s="9">
        <v>386000</v>
      </c>
      <c r="C31" s="9">
        <v>365000</v>
      </c>
      <c r="D31" s="9">
        <v>407000</v>
      </c>
      <c r="E31" s="9">
        <v>461000</v>
      </c>
      <c r="F31" s="9">
        <v>486000</v>
      </c>
      <c r="G31" s="9">
        <v>519000</v>
      </c>
      <c r="H31" s="9">
        <v>564000</v>
      </c>
    </row>
    <row r="32" spans="1:8" ht="12.45" customHeight="1">
      <c r="A32" s="15" t="s">
        <v>229</v>
      </c>
      <c r="B32" s="9">
        <v>61000</v>
      </c>
      <c r="C32" s="9">
        <v>72000</v>
      </c>
      <c r="D32" s="9">
        <v>71000</v>
      </c>
      <c r="E32" s="9">
        <v>64000</v>
      </c>
      <c r="F32" s="9">
        <v>72000</v>
      </c>
      <c r="G32" s="9">
        <v>105000</v>
      </c>
      <c r="H32" s="9">
        <v>98000</v>
      </c>
    </row>
    <row r="33" spans="1:8" ht="12.45" customHeight="1">
      <c r="A33" s="15" t="s">
        <v>230</v>
      </c>
      <c r="B33" s="9">
        <v>204000</v>
      </c>
      <c r="C33" s="9">
        <v>244000</v>
      </c>
      <c r="D33" s="9">
        <v>279000</v>
      </c>
      <c r="E33" s="9">
        <v>240000</v>
      </c>
      <c r="F33" s="9">
        <v>266000</v>
      </c>
      <c r="G33" s="9">
        <v>296000</v>
      </c>
      <c r="H33" s="9">
        <v>307000</v>
      </c>
    </row>
    <row r="34" spans="1:8" ht="12.45" customHeight="1">
      <c r="A34" s="15" t="s">
        <v>231</v>
      </c>
      <c r="B34" s="9">
        <v>101000</v>
      </c>
      <c r="C34" s="9">
        <v>127000</v>
      </c>
      <c r="D34" s="9">
        <v>165000</v>
      </c>
      <c r="E34" s="9">
        <v>171000</v>
      </c>
      <c r="F34" s="9">
        <v>168000</v>
      </c>
      <c r="G34" s="9">
        <v>190000</v>
      </c>
      <c r="H34" s="9">
        <v>194000</v>
      </c>
    </row>
    <row r="35" spans="1:8" ht="12.45" customHeight="1">
      <c r="A35" s="12" t="s">
        <v>175</v>
      </c>
      <c r="B35" s="9">
        <v>2158000</v>
      </c>
      <c r="C35" s="9">
        <v>2911000</v>
      </c>
      <c r="D35" s="9">
        <v>3063000</v>
      </c>
      <c r="E35" s="9">
        <v>3313000</v>
      </c>
      <c r="F35" s="9">
        <v>3314000</v>
      </c>
      <c r="G35" s="9">
        <v>3491000</v>
      </c>
      <c r="H35" s="9">
        <v>3649000</v>
      </c>
    </row>
    <row r="36" spans="1:8" ht="12.45" customHeight="1">
      <c r="A36" s="12" t="s">
        <v>176</v>
      </c>
      <c r="B36" s="9">
        <v>8702000</v>
      </c>
      <c r="C36" s="9">
        <v>11115000</v>
      </c>
      <c r="D36" s="9">
        <v>11976000</v>
      </c>
      <c r="E36" s="9">
        <v>12125000</v>
      </c>
      <c r="F36" s="9">
        <v>12889000</v>
      </c>
      <c r="G36" s="9">
        <v>13192000</v>
      </c>
      <c r="H36" s="9">
        <v>12676000</v>
      </c>
    </row>
    <row r="37" spans="1:8" ht="12.45" customHeight="1">
      <c r="A37" s="10" t="s">
        <v>275</v>
      </c>
      <c r="B37" s="9">
        <v>201000</v>
      </c>
      <c r="C37" s="9">
        <v>333000</v>
      </c>
      <c r="D37" s="9">
        <v>381000</v>
      </c>
      <c r="E37" s="9">
        <v>494000</v>
      </c>
      <c r="F37" s="9">
        <v>550000</v>
      </c>
      <c r="G37" s="9">
        <v>695000</v>
      </c>
      <c r="H37" s="9">
        <v>626000</v>
      </c>
    </row>
    <row r="38" spans="1:8" ht="12.45" customHeight="1">
      <c r="A38" s="12" t="s">
        <v>174</v>
      </c>
      <c r="B38" s="9">
        <v>19000</v>
      </c>
      <c r="C38" s="9">
        <v>18000</v>
      </c>
      <c r="D38" s="9">
        <v>23000</v>
      </c>
      <c r="E38" s="9">
        <v>31000</v>
      </c>
      <c r="F38" s="9">
        <v>37000</v>
      </c>
      <c r="G38" s="9">
        <v>58000</v>
      </c>
      <c r="H38" s="9">
        <v>45000</v>
      </c>
    </row>
    <row r="39" spans="1:8" ht="12.45" customHeight="1">
      <c r="A39" s="13" t="s">
        <v>227</v>
      </c>
      <c r="B39" s="9">
        <v>3000</v>
      </c>
      <c r="C39" s="9">
        <v>3000</v>
      </c>
      <c r="D39" s="9">
        <v>3000</v>
      </c>
      <c r="E39" s="9">
        <v>7000</v>
      </c>
      <c r="F39" s="9">
        <v>4000</v>
      </c>
      <c r="G39" s="9">
        <v>6000</v>
      </c>
      <c r="H39" s="9">
        <v>9000</v>
      </c>
    </row>
    <row r="40" spans="1:8" ht="12.45" customHeight="1">
      <c r="A40" s="15" t="s">
        <v>228</v>
      </c>
      <c r="B40" s="9">
        <v>7000</v>
      </c>
      <c r="C40" s="9">
        <v>7000</v>
      </c>
      <c r="D40" s="9">
        <v>5000</v>
      </c>
      <c r="E40" s="9">
        <v>9000</v>
      </c>
      <c r="F40" s="9">
        <v>15000</v>
      </c>
      <c r="G40" s="9">
        <v>28000</v>
      </c>
      <c r="H40" s="9">
        <v>14000</v>
      </c>
    </row>
    <row r="41" spans="1:8" ht="12.45" customHeight="1">
      <c r="A41" s="15" t="s">
        <v>229</v>
      </c>
      <c r="B41" s="13" t="s">
        <v>191</v>
      </c>
      <c r="C41" s="13" t="s">
        <v>191</v>
      </c>
      <c r="D41" s="9">
        <v>1000</v>
      </c>
      <c r="E41" s="9">
        <v>1000</v>
      </c>
      <c r="F41" s="9">
        <v>4000</v>
      </c>
      <c r="G41" s="9">
        <v>4000</v>
      </c>
      <c r="H41" s="9">
        <v>3000</v>
      </c>
    </row>
    <row r="42" spans="1:8" ht="12.45" customHeight="1">
      <c r="A42" s="15" t="s">
        <v>230</v>
      </c>
      <c r="B42" s="9">
        <v>4000</v>
      </c>
      <c r="C42" s="9">
        <v>3000</v>
      </c>
      <c r="D42" s="9">
        <v>9000</v>
      </c>
      <c r="E42" s="9">
        <v>8000</v>
      </c>
      <c r="F42" s="9">
        <v>6000</v>
      </c>
      <c r="G42" s="9">
        <v>9000</v>
      </c>
      <c r="H42" s="9">
        <v>12000</v>
      </c>
    </row>
    <row r="43" spans="1:8" ht="12.45" customHeight="1">
      <c r="A43" s="15" t="s">
        <v>231</v>
      </c>
      <c r="B43" s="9">
        <v>3000</v>
      </c>
      <c r="C43" s="9">
        <v>3000</v>
      </c>
      <c r="D43" s="9">
        <v>4000</v>
      </c>
      <c r="E43" s="9">
        <v>6000</v>
      </c>
      <c r="F43" s="9">
        <v>8000</v>
      </c>
      <c r="G43" s="9">
        <v>10000</v>
      </c>
      <c r="H43" s="9">
        <v>8000</v>
      </c>
    </row>
    <row r="44" spans="1:8" ht="12.45" customHeight="1">
      <c r="A44" s="12" t="s">
        <v>175</v>
      </c>
      <c r="B44" s="9">
        <v>38000</v>
      </c>
      <c r="C44" s="9">
        <v>50000</v>
      </c>
      <c r="D44" s="9">
        <v>76000</v>
      </c>
      <c r="E44" s="9">
        <v>73000</v>
      </c>
      <c r="F44" s="9">
        <v>99000</v>
      </c>
      <c r="G44" s="9">
        <v>121000</v>
      </c>
      <c r="H44" s="9">
        <v>129000</v>
      </c>
    </row>
    <row r="45" spans="1:8" ht="12.45" customHeight="1">
      <c r="A45" s="12" t="s">
        <v>176</v>
      </c>
      <c r="B45" s="9">
        <v>144000</v>
      </c>
      <c r="C45" s="9">
        <v>265000</v>
      </c>
      <c r="D45" s="9">
        <v>282000</v>
      </c>
      <c r="E45" s="9">
        <v>390000</v>
      </c>
      <c r="F45" s="9">
        <v>414000</v>
      </c>
      <c r="G45" s="9">
        <v>516000</v>
      </c>
      <c r="H45" s="9">
        <v>452000</v>
      </c>
    </row>
    <row r="46" spans="1:8" ht="12.45" customHeight="1">
      <c r="A46" s="8" t="s">
        <v>283</v>
      </c>
      <c r="B46" s="9">
        <v>17463000</v>
      </c>
      <c r="C46" s="9">
        <v>20644000</v>
      </c>
      <c r="D46" s="9">
        <v>21787000</v>
      </c>
      <c r="E46" s="9">
        <v>22723000</v>
      </c>
      <c r="F46" s="9">
        <v>23323000</v>
      </c>
      <c r="G46" s="9">
        <v>24183000</v>
      </c>
      <c r="H46" s="9">
        <v>25271000</v>
      </c>
    </row>
    <row r="47" spans="1:8" ht="12.45" customHeight="1">
      <c r="A47" s="10" t="s">
        <v>174</v>
      </c>
      <c r="B47" s="9">
        <v>3385000</v>
      </c>
      <c r="C47" s="9">
        <v>3888000</v>
      </c>
      <c r="D47" s="9">
        <v>4084000</v>
      </c>
      <c r="E47" s="9">
        <v>4590000</v>
      </c>
      <c r="F47" s="9">
        <v>4803000</v>
      </c>
      <c r="G47" s="9">
        <v>5274000</v>
      </c>
      <c r="H47" s="9">
        <v>5594000</v>
      </c>
    </row>
    <row r="48" spans="1:8" ht="12.45" customHeight="1">
      <c r="A48" s="12" t="s">
        <v>227</v>
      </c>
      <c r="B48" s="9">
        <v>257000</v>
      </c>
      <c r="C48" s="9">
        <v>310000</v>
      </c>
      <c r="D48" s="9">
        <v>328000</v>
      </c>
      <c r="E48" s="9">
        <v>329000</v>
      </c>
      <c r="F48" s="9">
        <v>319000</v>
      </c>
      <c r="G48" s="9">
        <v>361000</v>
      </c>
      <c r="H48" s="9">
        <v>427000</v>
      </c>
    </row>
    <row r="49" spans="1:8" ht="12.45" customHeight="1">
      <c r="A49" s="12" t="s">
        <v>228</v>
      </c>
      <c r="B49" s="9">
        <v>1378000</v>
      </c>
      <c r="C49" s="9">
        <v>1795000</v>
      </c>
      <c r="D49" s="9">
        <v>1980000</v>
      </c>
      <c r="E49" s="9">
        <v>2323000</v>
      </c>
      <c r="F49" s="9">
        <v>2500000</v>
      </c>
      <c r="G49" s="9">
        <v>2799000</v>
      </c>
      <c r="H49" s="9">
        <v>2979000</v>
      </c>
    </row>
    <row r="50" spans="1:8" ht="12.45" customHeight="1">
      <c r="A50" s="12" t="s">
        <v>229</v>
      </c>
      <c r="B50" s="9">
        <v>215000</v>
      </c>
      <c r="C50" s="9">
        <v>229000</v>
      </c>
      <c r="D50" s="9">
        <v>224000</v>
      </c>
      <c r="E50" s="9">
        <v>239000</v>
      </c>
      <c r="F50" s="9">
        <v>259000</v>
      </c>
      <c r="G50" s="9">
        <v>267000</v>
      </c>
      <c r="H50" s="9">
        <v>273000</v>
      </c>
    </row>
    <row r="51" spans="1:8" ht="12.45" customHeight="1">
      <c r="A51" s="12" t="s">
        <v>230</v>
      </c>
      <c r="B51" s="9">
        <v>226000</v>
      </c>
      <c r="C51" s="9">
        <v>223000</v>
      </c>
      <c r="D51" s="9">
        <v>234000</v>
      </c>
      <c r="E51" s="9">
        <v>229000</v>
      </c>
      <c r="F51" s="9">
        <v>266000</v>
      </c>
      <c r="G51" s="9">
        <v>235000</v>
      </c>
      <c r="H51" s="9">
        <v>279000</v>
      </c>
    </row>
    <row r="52" spans="1:8" ht="12.45" customHeight="1">
      <c r="A52" s="12" t="s">
        <v>231</v>
      </c>
      <c r="B52" s="9">
        <v>1309000</v>
      </c>
      <c r="C52" s="9">
        <v>1331000</v>
      </c>
      <c r="D52" s="9">
        <v>1319000</v>
      </c>
      <c r="E52" s="9">
        <v>1469000</v>
      </c>
      <c r="F52" s="9">
        <v>1459000</v>
      </c>
      <c r="G52" s="9">
        <v>1612000</v>
      </c>
      <c r="H52" s="9">
        <v>1636000</v>
      </c>
    </row>
    <row r="53" spans="1:8" ht="12.45" customHeight="1">
      <c r="A53" s="10" t="s">
        <v>175</v>
      </c>
      <c r="B53" s="9">
        <v>2341000</v>
      </c>
      <c r="C53" s="9">
        <v>3089000</v>
      </c>
      <c r="D53" s="9">
        <v>3285000</v>
      </c>
      <c r="E53" s="9">
        <v>3309000</v>
      </c>
      <c r="F53" s="9">
        <v>3507000</v>
      </c>
      <c r="G53" s="9">
        <v>3785000</v>
      </c>
      <c r="H53" s="9">
        <v>4028000</v>
      </c>
    </row>
    <row r="54" spans="1:8" ht="12.45" customHeight="1">
      <c r="A54" s="10" t="s">
        <v>176</v>
      </c>
      <c r="B54" s="9">
        <v>11736000</v>
      </c>
      <c r="C54" s="9">
        <v>13667000</v>
      </c>
      <c r="D54" s="9">
        <v>14418000</v>
      </c>
      <c r="E54" s="9">
        <v>14824000</v>
      </c>
      <c r="F54" s="9">
        <v>15013000</v>
      </c>
      <c r="G54" s="9">
        <v>15125000</v>
      </c>
      <c r="H54" s="9">
        <v>15649000</v>
      </c>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118</vt:i4>
      </vt:variant>
    </vt:vector>
  </HeadingPairs>
  <TitlesOfParts>
    <vt:vector size="118" baseType="lpstr">
      <vt:lpstr>Table 1</vt:lpstr>
      <vt:lpstr>BCA Visualization</vt:lpstr>
      <vt:lpstr>BCA-All</vt:lpstr>
      <vt:lpstr>BCA-B</vt:lpstr>
      <vt:lpstr>BCA-M</vt:lpstr>
      <vt:lpstr>BCA-D</vt:lpstr>
      <vt:lpstr>SA-All</vt:lpstr>
      <vt:lpstr>SA-B</vt:lpstr>
      <vt:lpstr>SA-M</vt:lpstr>
      <vt:lpstr>SA-D</vt:lpstr>
      <vt:lpstr>Table 1-1</vt:lpstr>
      <vt:lpstr>Table 1-1b</vt:lpstr>
      <vt:lpstr>Table 1-1c</vt:lpstr>
      <vt:lpstr>Table 1-1d</vt:lpstr>
      <vt:lpstr>Table 1-1e</vt:lpstr>
      <vt:lpstr>Table 1-2</vt:lpstr>
      <vt:lpstr>Table 1-2b</vt:lpstr>
      <vt:lpstr>Table 1-2c</vt:lpstr>
      <vt:lpstr>Table 1-2d</vt:lpstr>
      <vt:lpstr>Table 1-2e</vt:lpstr>
      <vt:lpstr>Table 1-2f</vt:lpstr>
      <vt:lpstr>Table 1-2g</vt:lpstr>
      <vt:lpstr>Table 1-3</vt:lpstr>
      <vt:lpstr>Table 1-3b</vt:lpstr>
      <vt:lpstr>Table 1-3c</vt:lpstr>
      <vt:lpstr>Table 1-3d</vt:lpstr>
      <vt:lpstr>Table 1-3e</vt:lpstr>
      <vt:lpstr>Table 1-4</vt:lpstr>
      <vt:lpstr>Table 1-4b</vt:lpstr>
      <vt:lpstr>Table 1-4c</vt:lpstr>
      <vt:lpstr>Table 1-4d</vt:lpstr>
      <vt:lpstr>Table 1-4e</vt:lpstr>
      <vt:lpstr>Table 24</vt:lpstr>
      <vt:lpstr>Table 2-1b</vt:lpstr>
      <vt:lpstr>Table 2-1</vt:lpstr>
      <vt:lpstr>Table 2-2</vt:lpstr>
      <vt:lpstr>Table 2-2b</vt:lpstr>
      <vt:lpstr>Table 29</vt:lpstr>
      <vt:lpstr>Table 30</vt:lpstr>
      <vt:lpstr>Table 31</vt:lpstr>
      <vt:lpstr>Table 32</vt:lpstr>
      <vt:lpstr>Table 33</vt:lpstr>
      <vt:lpstr>Table 34</vt:lpstr>
      <vt:lpstr>Table 35</vt:lpstr>
      <vt:lpstr>Table 36</vt:lpstr>
      <vt:lpstr>Table 37</vt:lpstr>
      <vt:lpstr>Table 38</vt:lpstr>
      <vt:lpstr>Table 39</vt:lpstr>
      <vt:lpstr>Table 3-1</vt:lpstr>
      <vt:lpstr>Table 3-1b</vt:lpstr>
      <vt:lpstr>Table 3-1c</vt:lpstr>
      <vt:lpstr>Table 3-1d</vt:lpstr>
      <vt:lpstr>Table 3-1e</vt:lpstr>
      <vt:lpstr>Table 3-1f</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Table 73</vt:lpstr>
      <vt:lpstr>Table 74</vt:lpstr>
      <vt:lpstr>Table 2-6</vt:lpstr>
      <vt:lpstr>Table 4-1</vt:lpstr>
      <vt:lpstr>Table 5-3b</vt:lpstr>
      <vt:lpstr>Table 5-3c</vt:lpstr>
      <vt:lpstr>Table 5-3</vt:lpstr>
      <vt:lpstr>Table 5-4</vt:lpstr>
      <vt:lpstr>Table 5-4b</vt:lpstr>
      <vt:lpstr>Table 5-4c</vt:lpstr>
      <vt:lpstr>Table 81</vt:lpstr>
      <vt:lpstr>Table 82</vt:lpstr>
      <vt:lpstr>Table 83</vt:lpstr>
      <vt:lpstr>Table 6-1b</vt:lpstr>
      <vt:lpstr>Table 6-1c</vt:lpstr>
      <vt:lpstr>Table 6-1d</vt:lpstr>
      <vt:lpstr>Table 88</vt:lpstr>
      <vt:lpstr>Table 89</vt:lpstr>
      <vt:lpstr>Table 90</vt:lpstr>
      <vt:lpstr>Table 91</vt:lpstr>
      <vt:lpstr>Table 92</vt:lpstr>
      <vt:lpstr>Table 6-1</vt:lpstr>
      <vt:lpstr>Table 6-3b</vt:lpstr>
      <vt:lpstr>Table 6-3c</vt:lpstr>
      <vt:lpstr>Table 6-3</vt:lpstr>
      <vt:lpstr>Table 6-4</vt:lpstr>
      <vt:lpstr>Table 6-4b</vt:lpstr>
      <vt:lpstr>Med Annual Salary by Cert Demos</vt:lpstr>
      <vt:lpstr>Med Weekly Salary by Cert Occu</vt:lpstr>
      <vt:lpstr>Table 6-4c Data Key</vt:lpstr>
      <vt:lpstr>Data Key1</vt:lpstr>
      <vt:lpstr>Data Key2</vt:lpstr>
      <vt:lpstr>Data Key3</vt:lpstr>
      <vt:lpstr>Data Key4</vt:lpstr>
      <vt:lpstr>Data Key5</vt:lpstr>
      <vt:lpstr>Data Key6</vt:lpstr>
      <vt:lpstr>Data Key7</vt:lpstr>
      <vt:lpstr>Data Key8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Survey of College Graduates: 2021, NSF 23-306</dc:title>
  <dc:subject>NSCG 2021 DT</dc:subject>
  <dc:creator>National Center for Science and Engineering Statistics, National Science Foundation</dc:creator>
  <cp:keywords>NCSES</cp:keywords>
  <dc:description/>
  <cp:lastModifiedBy>Hailey Bauer</cp:lastModifiedBy>
  <cp:revision/>
  <dcterms:created xsi:type="dcterms:W3CDTF">2024-08-26T06:20:19Z</dcterms:created>
  <dcterms:modified xsi:type="dcterms:W3CDTF">2024-12-02T17:45:56Z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2023-04-20T00:00:00Z</vt:filetime>
  </property>
  <property fmtid="{D5CDD505-2E9C-101B-9397-08002B2CF9AE}" pid="3" name="Creator">
    <vt:lpwstr>NCSES</vt:lpwstr>
  </property>
  <property fmtid="{D5CDD505-2E9C-101B-9397-08002B2CF9AE}" pid="4" name="LastSaved">
    <vt:filetime>2024-08-26T00:00:00Z</vt:filetime>
  </property>
  <property fmtid="{D5CDD505-2E9C-101B-9397-08002B2CF9AE}" pid="5" name="Producer">
    <vt:lpwstr>RealObjects PDFreactor(R) 11.4.5 (13797), Serial No: 4050, Licensed for: National Science Foundation NSF</vt:lpwstr>
  </property>
</Properties>
</file>